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charts/chart2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drawings/drawing19.xml" ContentType="application/vnd.openxmlformats-officedocument.drawingml.chartshapes+xml"/>
  <Override PartName="/xl/charts/chart2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ml.chartshapes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28.xml" ContentType="application/vnd.openxmlformats-officedocument.drawingml.chart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4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4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U:\RezidentControl\Татьяна\ВАЖНОЕ\ПИП\Формы!\"/>
    </mc:Choice>
  </mc:AlternateContent>
  <bookViews>
    <workbookView xWindow="0" yWindow="0" windowWidth="13230" windowHeight="10245" tabRatio="868"/>
  </bookViews>
  <sheets>
    <sheet name="Паспорт_ФМ_резидент" sheetId="1" r:id="rId1"/>
    <sheet name="Оглавление" sheetId="2" state="hidden" r:id="rId2"/>
    <sheet name="Оценка_инвестора" sheetId="59" r:id="rId3"/>
    <sheet name="Макро" sheetId="13" state="hidden" r:id="rId4"/>
    <sheet name="WACC" sheetId="51" state="hidden" r:id="rId5"/>
    <sheet name="Исходные" sheetId="7" r:id="rId6"/>
    <sheet name="КПЭ" sheetId="12" r:id="rId7"/>
    <sheet name="ИтогТаблицы" sheetId="41" r:id="rId8"/>
    <sheet name="Дашборд_ИтогТабл" sheetId="55" r:id="rId9"/>
    <sheet name="Дашборд_Основной" sheetId="56" r:id="rId10"/>
    <sheet name="БДР" sheetId="11" r:id="rId11"/>
    <sheet name="БДДС" sheetId="10" r:id="rId12"/>
    <sheet name="Баланс" sheetId="9" r:id="rId13"/>
    <sheet name="НалогСвод" sheetId="42" r:id="rId14"/>
    <sheet name="Чувствительность" sheetId="47" r:id="rId15"/>
    <sheet name="Дашборд_налоги" sheetId="52" r:id="rId16"/>
    <sheet name="УСН" sheetId="48" r:id="rId17"/>
    <sheet name="Инвестиции" sheetId="14" r:id="rId18"/>
    <sheet name="Финансы" sheetId="17" r:id="rId19"/>
    <sheet name="Выручка" sheetId="16" r:id="rId20"/>
    <sheet name="Себестоимость" sheetId="18" r:id="rId21"/>
    <sheet name="Персонал" sheetId="15" r:id="rId22"/>
    <sheet name="Ресурсы" sheetId="19" r:id="rId23"/>
    <sheet name="ОбщПрРасходы" sheetId="21" r:id="rId24"/>
    <sheet name="АдмРасходы" sheetId="20" r:id="rId25"/>
    <sheet name="ПрочДоходы" sheetId="23" r:id="rId26"/>
    <sheet name="ПрочРасходы" sheetId="24" r:id="rId27"/>
    <sheet name="НДС" sheetId="22" r:id="rId28"/>
    <sheet name="НалПрибыль" sheetId="25" r:id="rId29"/>
    <sheet name="НалЗемля" sheetId="36" r:id="rId30"/>
    <sheet name="НалИмущество" sheetId="26" r:id="rId31"/>
    <sheet name="КПЭбезЛьгот" sheetId="32" r:id="rId32"/>
    <sheet name="БДРбезЛьгот" sheetId="28" r:id="rId33"/>
    <sheet name="БДДСбезЛьгот" sheetId="29" r:id="rId34"/>
    <sheet name="БалансбезЛьгот" sheetId="31" r:id="rId35"/>
    <sheet name="Контроль" sheetId="6" r:id="rId36"/>
    <sheet name="Легенда" sheetId="4" r:id="rId37"/>
    <sheet name="Шаблон" sheetId="5" r:id="rId38"/>
    <sheet name="Структура" sheetId="27" r:id="rId39"/>
    <sheet name="Описание" sheetId="37" r:id="rId40"/>
    <sheet name="Дашборд_2" sheetId="33" r:id="rId41"/>
  </sheets>
  <externalReferences>
    <externalReference r:id="rId42"/>
  </externalReferences>
  <definedNames>
    <definedName name="Валовая_прибыль" localSheetId="32">БДРбезЛьгот!$F$12:$O$12</definedName>
    <definedName name="Валовая_прибыль">БДР!$F$12:$O$12</definedName>
    <definedName name="_xlnm.Print_Titles" localSheetId="4">WACC!#REF!</definedName>
    <definedName name="_xlnm.Print_Titles" localSheetId="24">АдмРасходы!$3:$3</definedName>
    <definedName name="_xlnm.Print_Titles" localSheetId="12">Баланс!$3:$3</definedName>
    <definedName name="_xlnm.Print_Titles" localSheetId="34">БалансбезЛьгот!$3:$3</definedName>
    <definedName name="_xlnm.Print_Titles" localSheetId="11">БДДС!$3:$3</definedName>
    <definedName name="_xlnm.Print_Titles" localSheetId="33">БДДСбезЛьгот!$3:$3</definedName>
    <definedName name="_xlnm.Print_Titles" localSheetId="10">БДР!$3:$3</definedName>
    <definedName name="_xlnm.Print_Titles" localSheetId="32">БДРбезЛьгот!$3:$3</definedName>
    <definedName name="_xlnm.Print_Titles" localSheetId="19">Выручка!$3:$3</definedName>
    <definedName name="_xlnm.Print_Titles" localSheetId="17">Инвестиции!$3:$3</definedName>
    <definedName name="_xlnm.Print_Titles" localSheetId="5">Исходные!$3:$3</definedName>
    <definedName name="_xlnm.Print_Titles" localSheetId="35">Контроль!$3:$3</definedName>
    <definedName name="_xlnm.Print_Titles" localSheetId="6">КПЭ!$3:$3</definedName>
    <definedName name="_xlnm.Print_Titles" localSheetId="31">КПЭбезЛьгот!$3:$3</definedName>
    <definedName name="_xlnm.Print_Titles" localSheetId="3">Макро!$3:$3</definedName>
    <definedName name="_xlnm.Print_Titles" localSheetId="29">НалЗемля!$3:$3</definedName>
    <definedName name="_xlnm.Print_Titles" localSheetId="30">НалИмущество!$3:$3</definedName>
    <definedName name="_xlnm.Print_Titles" localSheetId="13">НалогСвод!$3:$3</definedName>
    <definedName name="_xlnm.Print_Titles" localSheetId="28">НалПрибыль!$3:$3</definedName>
    <definedName name="_xlnm.Print_Titles" localSheetId="27">НДС!$3:$3</definedName>
    <definedName name="_xlnm.Print_Titles" localSheetId="23">ОбщПрРасходы!$3:$3</definedName>
    <definedName name="_xlnm.Print_Titles" localSheetId="1">Оглавление!$1:$3</definedName>
    <definedName name="_xlnm.Print_Titles" localSheetId="39">Описание!$1:$4</definedName>
    <definedName name="_xlnm.Print_Titles" localSheetId="21">Персонал!$3:$3</definedName>
    <definedName name="_xlnm.Print_Titles" localSheetId="25">ПрочДоходы!$3:$3</definedName>
    <definedName name="_xlnm.Print_Titles" localSheetId="26">ПрочРасходы!$3:$3</definedName>
    <definedName name="_xlnm.Print_Titles" localSheetId="22">Ресурсы!$3:$3</definedName>
    <definedName name="_xlnm.Print_Titles" localSheetId="20">Себестоимость!$3:$3</definedName>
    <definedName name="_xlnm.Print_Titles" localSheetId="16">УСН!$3:$3</definedName>
    <definedName name="_xlnm.Print_Titles" localSheetId="18">Финансы!$3:$3</definedName>
    <definedName name="_xlnm.Print_Titles" localSheetId="14">Чувствительность!$3:$3</definedName>
    <definedName name="_xlnm.Print_Titles" localSheetId="37">Шаблон!$3:$3</definedName>
    <definedName name="НалПрибыль">Макро!$F$33</definedName>
    <definedName name="_xlnm.Print_Area" localSheetId="24">АдмРасходы!$A$1:$AB$25</definedName>
    <definedName name="_xlnm.Print_Area" localSheetId="12">Баланс!$A$1:$AB$42</definedName>
    <definedName name="_xlnm.Print_Area" localSheetId="11">БДДС!$A$1:$AB$60</definedName>
    <definedName name="_xlnm.Print_Area" localSheetId="10">БДР!$A$1:$P$33</definedName>
    <definedName name="_xlnm.Print_Area" localSheetId="19">Выручка!$A$1:$AE$50</definedName>
    <definedName name="_xlnm.Print_Area" localSheetId="15">Дашборд_налоги!$A$1:$E$47</definedName>
    <definedName name="_xlnm.Print_Area" localSheetId="17">Инвестиции!$A$1:$AB$171</definedName>
    <definedName name="_xlnm.Print_Area" localSheetId="7">ИтогТаблицы!$A$1:$N$117</definedName>
    <definedName name="_xlnm.Print_Area" localSheetId="6">КПЭ!$A$1:$O$26</definedName>
    <definedName name="_xlnm.Print_Area" localSheetId="31">КПЭбезЛьгот!$A$1:$AB$33</definedName>
    <definedName name="_xlnm.Print_Area" localSheetId="29">НалЗемля!$A$1:$AB$21</definedName>
    <definedName name="_xlnm.Print_Area" localSheetId="30">НалИмущество!$A$1:$AB$23</definedName>
    <definedName name="_xlnm.Print_Area" localSheetId="13">НалогСвод!$A$1:$AB$36</definedName>
    <definedName name="_xlnm.Print_Area" localSheetId="28">НалПрибыль!$A$1:$AB$36</definedName>
    <definedName name="_xlnm.Print_Area" localSheetId="27">НДС!$A$1:$AB$20</definedName>
    <definedName name="_xlnm.Print_Area" localSheetId="23">ОбщПрРасходы!$A$1:$AB$26</definedName>
    <definedName name="_xlnm.Print_Area" localSheetId="1">Оглавление!$A$1:$C$57</definedName>
    <definedName name="_xlnm.Print_Area" localSheetId="39">Описание!$A$1:$F$44</definedName>
    <definedName name="_xlnm.Print_Area" localSheetId="21">Персонал!$A$1:$AE$59</definedName>
    <definedName name="_xlnm.Print_Area" localSheetId="25">ПрочДоходы!$A$1:$AB$12</definedName>
    <definedName name="_xlnm.Print_Area" localSheetId="26">ПрочРасходы!$A$1:$AB$12</definedName>
    <definedName name="_xlnm.Print_Area" localSheetId="22">Ресурсы!$A$1:$AF$60</definedName>
    <definedName name="_xlnm.Print_Area" localSheetId="20">Себестоимость!$A$1:$AE$48</definedName>
    <definedName name="_xlnm.Print_Area" localSheetId="16">УСН!$A$1:$AB$16</definedName>
    <definedName name="_xlnm.Print_Area" localSheetId="18">Финансы!$A$1:$AE$66</definedName>
    <definedName name="_xlnm.Print_Area" localSheetId="14">Чувствительность!$A$1:$Q$70</definedName>
    <definedName name="_xlnm.Print_Area" localSheetId="37">Шаблон!$A$1:$AB$116</definedName>
    <definedName name="Прибыль_до_налогообл" localSheetId="32">БДРбезЛьгот!$F$25:$O$25</definedName>
    <definedName name="Прибыль_до_налогообл">БДР!$F$25:$O$25</definedName>
    <definedName name="Прибыль_от_продаж" localSheetId="32">БДРбезЛьгот!$F$17:$O$17</definedName>
    <definedName name="Прибыль_от_продаж">БДР!$F$17:$O$17</definedName>
    <definedName name="Продажи" localSheetId="10">БДР!$F$5:$O$5</definedName>
    <definedName name="Продажи" localSheetId="32">БДРбезЛьгот!$F$5:$O$5</definedName>
    <definedName name="Себестоимость" localSheetId="10">БДР!$F$6:$O$6</definedName>
    <definedName name="Себестоимость" localSheetId="32">БДРбезЛьгот!$F$6:$O$6</definedName>
    <definedName name="СоцНалог">Макро!$F$59</definedName>
    <definedName name="СтавкаНДФЛ">Макро!$F$64</definedName>
    <definedName name="Чистая_прибыль" localSheetId="32">БДРбезЛьгот!$F$29:$O$29</definedName>
    <definedName name="Чистая_прибыль">БДР!$F$29:$O$29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1" l="1"/>
  <c r="O10" i="11"/>
  <c r="F5" i="10"/>
  <c r="N7" i="9"/>
  <c r="O7" i="9"/>
  <c r="D57" i="1" l="1"/>
  <c r="D56" i="1"/>
  <c r="D61" i="41" l="1"/>
  <c r="E61" i="41"/>
  <c r="F61" i="41"/>
  <c r="G61" i="41"/>
  <c r="H61" i="41"/>
  <c r="I61" i="41"/>
  <c r="J61" i="41"/>
  <c r="K61" i="41"/>
  <c r="L61" i="41"/>
  <c r="C61" i="41"/>
  <c r="M61" i="41" s="1"/>
  <c r="M38" i="41"/>
  <c r="C16" i="41" s="1"/>
  <c r="D38" i="41"/>
  <c r="E38" i="41"/>
  <c r="F38" i="41"/>
  <c r="G38" i="41"/>
  <c r="H38" i="41"/>
  <c r="I38" i="41"/>
  <c r="J38" i="41"/>
  <c r="K38" i="41"/>
  <c r="L38" i="41"/>
  <c r="D13" i="17"/>
  <c r="C38" i="41"/>
  <c r="B14" i="41"/>
  <c r="F15" i="21" l="1"/>
  <c r="D85" i="1" l="1"/>
  <c r="C27" i="1"/>
  <c r="G80" i="13" l="1"/>
  <c r="H80" i="13" s="1"/>
  <c r="I80" i="13" s="1"/>
  <c r="J80" i="13" s="1"/>
  <c r="G81" i="13"/>
  <c r="G13" i="15" s="1"/>
  <c r="F12" i="15"/>
  <c r="F13" i="15"/>
  <c r="H81" i="13" l="1"/>
  <c r="I81" i="13" s="1"/>
  <c r="J81" i="13" s="1"/>
  <c r="G12" i="15"/>
  <c r="B14" i="48" l="1"/>
  <c r="B7" i="48"/>
  <c r="F30" i="17"/>
  <c r="G30" i="17"/>
  <c r="D70" i="6"/>
  <c r="D72" i="6"/>
  <c r="G7" i="20"/>
  <c r="H7" i="20" s="1"/>
  <c r="I7" i="20" s="1"/>
  <c r="J7" i="20" s="1"/>
  <c r="K7" i="20" s="1"/>
  <c r="L7" i="20" s="1"/>
  <c r="M7" i="20" s="1"/>
  <c r="N7" i="20" s="1"/>
  <c r="O7" i="20" s="1"/>
  <c r="F6" i="20"/>
  <c r="G6" i="20" s="1"/>
  <c r="H6" i="20" s="1"/>
  <c r="I6" i="20" s="1"/>
  <c r="J6" i="20" s="1"/>
  <c r="K6" i="20" s="1"/>
  <c r="L6" i="20" s="1"/>
  <c r="M6" i="20" s="1"/>
  <c r="N6" i="20" s="1"/>
  <c r="O6" i="20" s="1"/>
  <c r="G93" i="7"/>
  <c r="H93" i="7" s="1"/>
  <c r="I93" i="7" s="1"/>
  <c r="J93" i="7" s="1"/>
  <c r="K93" i="7" s="1"/>
  <c r="L93" i="7" s="1"/>
  <c r="M93" i="7" s="1"/>
  <c r="N93" i="7" s="1"/>
  <c r="O93" i="7" s="1"/>
  <c r="P93" i="7" s="1"/>
  <c r="G92" i="7"/>
  <c r="H92" i="7" s="1"/>
  <c r="I92" i="7" s="1"/>
  <c r="J92" i="7" s="1"/>
  <c r="K92" i="7" s="1"/>
  <c r="L92" i="7" s="1"/>
  <c r="H32" i="18"/>
  <c r="G32" i="18"/>
  <c r="D33" i="18"/>
  <c r="F32" i="18"/>
  <c r="G7" i="17"/>
  <c r="H7" i="17"/>
  <c r="I7" i="17"/>
  <c r="J7" i="17"/>
  <c r="K7" i="17"/>
  <c r="L7" i="17"/>
  <c r="M7" i="17"/>
  <c r="I117" i="14"/>
  <c r="H108" i="14"/>
  <c r="M92" i="7" l="1"/>
  <c r="L94" i="7"/>
  <c r="M94" i="7" l="1"/>
  <c r="N92" i="7"/>
  <c r="I32" i="18"/>
  <c r="G83" i="7"/>
  <c r="H83" i="7"/>
  <c r="I83" i="7"/>
  <c r="J83" i="7"/>
  <c r="K83" i="7"/>
  <c r="L83" i="7"/>
  <c r="M83" i="7"/>
  <c r="N83" i="7"/>
  <c r="O83" i="7"/>
  <c r="P83" i="7"/>
  <c r="F83" i="7"/>
  <c r="G21" i="7"/>
  <c r="F23" i="18"/>
  <c r="F14" i="18"/>
  <c r="G42" i="16"/>
  <c r="G41" i="16" s="1"/>
  <c r="G40" i="16"/>
  <c r="H40" i="16" s="1"/>
  <c r="I40" i="16" s="1"/>
  <c r="J40" i="16" s="1"/>
  <c r="K40" i="16" s="1"/>
  <c r="L40" i="16" s="1"/>
  <c r="M40" i="16" s="1"/>
  <c r="N40" i="16" s="1"/>
  <c r="O40" i="16" s="1"/>
  <c r="H36" i="16"/>
  <c r="I36" i="16" s="1"/>
  <c r="J36" i="16" s="1"/>
  <c r="K36" i="16" s="1"/>
  <c r="L36" i="16" s="1"/>
  <c r="M36" i="16" s="1"/>
  <c r="N36" i="16" s="1"/>
  <c r="O36" i="16" s="1"/>
  <c r="G36" i="16"/>
  <c r="H30" i="16"/>
  <c r="I30" i="16" s="1"/>
  <c r="J30" i="16" s="1"/>
  <c r="K30" i="16" s="1"/>
  <c r="L30" i="16" s="1"/>
  <c r="M30" i="16" s="1"/>
  <c r="N30" i="16" s="1"/>
  <c r="O30" i="16" s="1"/>
  <c r="G30" i="16"/>
  <c r="G24" i="16"/>
  <c r="H24" i="16" s="1"/>
  <c r="I24" i="16" s="1"/>
  <c r="J24" i="16" s="1"/>
  <c r="K24" i="16" s="1"/>
  <c r="L24" i="16" s="1"/>
  <c r="M24" i="16" s="1"/>
  <c r="N24" i="16" s="1"/>
  <c r="O24" i="16" s="1"/>
  <c r="G18" i="16"/>
  <c r="H18" i="16" s="1"/>
  <c r="I18" i="16" s="1"/>
  <c r="F36" i="51"/>
  <c r="G36" i="51"/>
  <c r="H36" i="51"/>
  <c r="I36" i="51"/>
  <c r="J36" i="51"/>
  <c r="K36" i="51"/>
  <c r="L36" i="51"/>
  <c r="M36" i="51"/>
  <c r="N36" i="51"/>
  <c r="E36" i="51"/>
  <c r="D82" i="7"/>
  <c r="D83" i="7" s="1"/>
  <c r="D81" i="7"/>
  <c r="D85" i="7"/>
  <c r="D84" i="7"/>
  <c r="D86" i="7" s="1"/>
  <c r="P80" i="7"/>
  <c r="O80" i="7"/>
  <c r="N80" i="7"/>
  <c r="M80" i="7"/>
  <c r="L80" i="7"/>
  <c r="K80" i="7"/>
  <c r="J80" i="7"/>
  <c r="I80" i="7"/>
  <c r="H80" i="7"/>
  <c r="G80" i="7"/>
  <c r="F80" i="7"/>
  <c r="D79" i="7"/>
  <c r="D78" i="7"/>
  <c r="P74" i="7"/>
  <c r="O74" i="7"/>
  <c r="N74" i="7"/>
  <c r="M74" i="7"/>
  <c r="L74" i="7"/>
  <c r="K74" i="7"/>
  <c r="J74" i="7"/>
  <c r="I74" i="7"/>
  <c r="H74" i="7"/>
  <c r="G74" i="7"/>
  <c r="F74" i="7"/>
  <c r="D73" i="7"/>
  <c r="D72" i="7"/>
  <c r="D74" i="7" s="1"/>
  <c r="P77" i="7"/>
  <c r="O77" i="7"/>
  <c r="N77" i="7"/>
  <c r="M77" i="7"/>
  <c r="L77" i="7"/>
  <c r="K77" i="7"/>
  <c r="J77" i="7"/>
  <c r="I77" i="7"/>
  <c r="H77" i="7"/>
  <c r="G77" i="7"/>
  <c r="F77" i="7"/>
  <c r="D76" i="7"/>
  <c r="D75" i="7"/>
  <c r="P71" i="7"/>
  <c r="O71" i="7"/>
  <c r="N71" i="7"/>
  <c r="M71" i="7"/>
  <c r="L71" i="7"/>
  <c r="K71" i="7"/>
  <c r="J71" i="7"/>
  <c r="I71" i="7"/>
  <c r="H71" i="7"/>
  <c r="G71" i="7"/>
  <c r="F71" i="7"/>
  <c r="D70" i="7"/>
  <c r="D69" i="7"/>
  <c r="D67" i="7"/>
  <c r="D66" i="7"/>
  <c r="G65" i="7"/>
  <c r="H65" i="7"/>
  <c r="I65" i="7"/>
  <c r="J65" i="7"/>
  <c r="K65" i="7"/>
  <c r="L65" i="7"/>
  <c r="M65" i="7"/>
  <c r="N65" i="7"/>
  <c r="O65" i="7"/>
  <c r="P65" i="7"/>
  <c r="F65" i="7"/>
  <c r="D64" i="7"/>
  <c r="D63" i="7"/>
  <c r="D61" i="7"/>
  <c r="D55" i="7"/>
  <c r="D54" i="7"/>
  <c r="D56" i="7" s="1"/>
  <c r="D49" i="7"/>
  <c r="D48" i="7"/>
  <c r="G53" i="7"/>
  <c r="H53" i="7"/>
  <c r="I53" i="7"/>
  <c r="J53" i="7"/>
  <c r="K53" i="7"/>
  <c r="L53" i="7"/>
  <c r="M53" i="7"/>
  <c r="N53" i="7"/>
  <c r="O53" i="7"/>
  <c r="P53" i="7"/>
  <c r="F53" i="7"/>
  <c r="G41" i="7"/>
  <c r="H41" i="7"/>
  <c r="I41" i="7"/>
  <c r="J41" i="7"/>
  <c r="K41" i="7"/>
  <c r="L41" i="7"/>
  <c r="M41" i="7"/>
  <c r="N41" i="7"/>
  <c r="O41" i="7"/>
  <c r="P41" i="7"/>
  <c r="F41" i="7"/>
  <c r="G59" i="7"/>
  <c r="H59" i="7"/>
  <c r="I59" i="7"/>
  <c r="J59" i="7"/>
  <c r="K59" i="7"/>
  <c r="L59" i="7"/>
  <c r="M59" i="7"/>
  <c r="N59" i="7"/>
  <c r="O59" i="7"/>
  <c r="P59" i="7"/>
  <c r="F59" i="7"/>
  <c r="D58" i="7"/>
  <c r="D57" i="7"/>
  <c r="D52" i="7"/>
  <c r="D51" i="7"/>
  <c r="D53" i="7" s="1"/>
  <c r="D46" i="7"/>
  <c r="D45" i="7"/>
  <c r="D43" i="7"/>
  <c r="D42" i="7"/>
  <c r="P47" i="7"/>
  <c r="O47" i="7"/>
  <c r="N47" i="7"/>
  <c r="M47" i="7"/>
  <c r="L47" i="7"/>
  <c r="K47" i="7"/>
  <c r="J47" i="7"/>
  <c r="I47" i="7"/>
  <c r="H47" i="7"/>
  <c r="G47" i="7"/>
  <c r="F47" i="7"/>
  <c r="D80" i="7" l="1"/>
  <c r="H42" i="16"/>
  <c r="I42" i="16" s="1"/>
  <c r="J42" i="16" s="1"/>
  <c r="K42" i="16" s="1"/>
  <c r="L42" i="16" s="1"/>
  <c r="M42" i="16" s="1"/>
  <c r="N42" i="16" s="1"/>
  <c r="O42" i="16" s="1"/>
  <c r="O92" i="7"/>
  <c r="N94" i="7"/>
  <c r="J32" i="18"/>
  <c r="G14" i="18"/>
  <c r="D77" i="7"/>
  <c r="D68" i="7"/>
  <c r="D59" i="7"/>
  <c r="D47" i="7"/>
  <c r="D44" i="7"/>
  <c r="D71" i="7"/>
  <c r="D65" i="7"/>
  <c r="H41" i="16" l="1"/>
  <c r="I41" i="16" s="1"/>
  <c r="J41" i="16" s="1"/>
  <c r="K41" i="16" s="1"/>
  <c r="L41" i="16" s="1"/>
  <c r="M41" i="16" s="1"/>
  <c r="N41" i="16" s="1"/>
  <c r="O41" i="16" s="1"/>
  <c r="P92" i="7"/>
  <c r="P94" i="7" s="1"/>
  <c r="O94" i="7"/>
  <c r="K32" i="18"/>
  <c r="G23" i="18"/>
  <c r="C106" i="1"/>
  <c r="C107" i="1"/>
  <c r="C104" i="1"/>
  <c r="C105" i="1"/>
  <c r="L32" i="18" l="1"/>
  <c r="C112" i="1"/>
  <c r="C111" i="1"/>
  <c r="C110" i="1"/>
  <c r="C103" i="1"/>
  <c r="C102" i="1"/>
  <c r="C101" i="1"/>
  <c r="C97" i="1"/>
  <c r="C93" i="1"/>
  <c r="M32" i="18" l="1"/>
  <c r="K55" i="13"/>
  <c r="L55" i="13"/>
  <c r="M55" i="13"/>
  <c r="N55" i="13"/>
  <c r="J55" i="13"/>
  <c r="I55" i="13"/>
  <c r="H55" i="13"/>
  <c r="G55" i="13"/>
  <c r="F55" i="13"/>
  <c r="O32" i="18" l="1"/>
  <c r="N32" i="18"/>
  <c r="D32" i="18"/>
  <c r="C67" i="59"/>
  <c r="C55" i="59"/>
  <c r="C22" i="59"/>
  <c r="C21" i="59"/>
  <c r="B7" i="2" a="1"/>
  <c r="B7" i="2" l="1"/>
  <c r="F3" i="5"/>
  <c r="O181" i="47"/>
  <c r="N181" i="47"/>
  <c r="M181" i="47"/>
  <c r="L181" i="47"/>
  <c r="K181" i="47"/>
  <c r="J181" i="47"/>
  <c r="I181" i="47"/>
  <c r="H181" i="47"/>
  <c r="G181" i="47"/>
  <c r="F181" i="47"/>
  <c r="F122" i="47"/>
  <c r="F87" i="47"/>
  <c r="B16" i="2" a="1"/>
  <c r="B15" i="2" a="1"/>
  <c r="B17" i="2" a="1"/>
  <c r="B16" i="2" l="1"/>
  <c r="B17" i="2"/>
  <c r="B15" i="2"/>
  <c r="B11" i="47"/>
  <c r="G26" i="47"/>
  <c r="P86" i="7"/>
  <c r="O86" i="7"/>
  <c r="N86" i="7"/>
  <c r="M86" i="7"/>
  <c r="L86" i="7"/>
  <c r="K86" i="7"/>
  <c r="J86" i="7"/>
  <c r="I86" i="7"/>
  <c r="H86" i="7"/>
  <c r="G86" i="7"/>
  <c r="F86" i="7"/>
  <c r="P68" i="7"/>
  <c r="O68" i="7"/>
  <c r="N68" i="7"/>
  <c r="M68" i="7"/>
  <c r="L68" i="7"/>
  <c r="K68" i="7"/>
  <c r="J68" i="7"/>
  <c r="I68" i="7"/>
  <c r="H68" i="7"/>
  <c r="G68" i="7"/>
  <c r="F68" i="7"/>
  <c r="P56" i="7"/>
  <c r="O56" i="7"/>
  <c r="N56" i="7"/>
  <c r="M56" i="7"/>
  <c r="L56" i="7"/>
  <c r="K56" i="7"/>
  <c r="J56" i="7"/>
  <c r="I56" i="7"/>
  <c r="H56" i="7"/>
  <c r="G56" i="7"/>
  <c r="F56" i="7"/>
  <c r="P50" i="7"/>
  <c r="O50" i="7"/>
  <c r="N50" i="7"/>
  <c r="M50" i="7"/>
  <c r="L50" i="7"/>
  <c r="K50" i="7"/>
  <c r="J50" i="7"/>
  <c r="I50" i="7"/>
  <c r="H50" i="7"/>
  <c r="G50" i="7"/>
  <c r="F50" i="7"/>
  <c r="P44" i="7"/>
  <c r="O44" i="7"/>
  <c r="N44" i="7"/>
  <c r="M44" i="7"/>
  <c r="L44" i="7"/>
  <c r="K44" i="7"/>
  <c r="J44" i="7"/>
  <c r="I44" i="7"/>
  <c r="H44" i="7"/>
  <c r="G44" i="7"/>
  <c r="F44" i="7"/>
  <c r="D40" i="7"/>
  <c r="B119" i="5" a="1"/>
  <c r="C38" i="37" a="1"/>
  <c r="B122" i="5" a="1"/>
  <c r="C42" i="37" a="1"/>
  <c r="C40" i="37" a="1"/>
  <c r="B13" i="2" a="1"/>
  <c r="B6" i="2" a="1"/>
  <c r="B120" i="5" a="1"/>
  <c r="B14" i="2" a="1"/>
  <c r="B118" i="5" a="1"/>
  <c r="B121" i="5" a="1"/>
  <c r="B123" i="5" a="1"/>
  <c r="B6" i="2" l="1"/>
  <c r="C38" i="37"/>
  <c r="C42" i="37"/>
  <c r="C40" i="37"/>
  <c r="B123" i="5"/>
  <c r="B118" i="5"/>
  <c r="B119" i="5"/>
  <c r="B120" i="5"/>
  <c r="B121" i="5"/>
  <c r="B122" i="5"/>
  <c r="B13" i="2"/>
  <c r="B14" i="2"/>
  <c r="D50" i="7"/>
  <c r="D41" i="7"/>
  <c r="F20" i="21"/>
  <c r="F13" i="21"/>
  <c r="F21" i="20"/>
  <c r="F20" i="20"/>
  <c r="F14" i="20"/>
  <c r="A176" i="6" a="1"/>
  <c r="A43" i="10" a="1"/>
  <c r="A46" i="10" a="1"/>
  <c r="A173" i="6" a="1"/>
  <c r="A33" i="10" a="1"/>
  <c r="A177" i="6" a="1"/>
  <c r="B53" i="2" a="1"/>
  <c r="A114" i="6" a="1"/>
  <c r="A184" i="6" a="1"/>
  <c r="A130" i="6" a="1"/>
  <c r="A105" i="6" a="1"/>
  <c r="A181" i="6" a="1"/>
  <c r="A197" i="6" a="1"/>
  <c r="A135" i="6" a="1"/>
  <c r="A196" i="6" a="1"/>
  <c r="A20" i="10" a="1"/>
  <c r="A17" i="10" a="1"/>
  <c r="A185" i="6" a="1"/>
  <c r="A193" i="6" a="1"/>
  <c r="A134" i="6" a="1"/>
  <c r="A123" i="6" a="1"/>
  <c r="A113" i="6" a="1"/>
  <c r="A126" i="6" a="1"/>
  <c r="A13" i="10" a="1"/>
  <c r="A49" i="10" a="1"/>
  <c r="A127" i="6" a="1"/>
  <c r="A188" i="6" a="1"/>
  <c r="A180" i="6" a="1"/>
  <c r="A122" i="6" a="1"/>
  <c r="A189" i="6" a="1"/>
  <c r="A192" i="6" a="1"/>
  <c r="A36" i="10" a="1"/>
  <c r="A172" i="6" a="1"/>
  <c r="B53" i="2" l="1"/>
  <c r="A196" i="6"/>
  <c r="A49" i="10"/>
  <c r="A197" i="6"/>
  <c r="A192" i="6"/>
  <c r="A46" i="10"/>
  <c r="A193" i="6"/>
  <c r="A188" i="6"/>
  <c r="A43" i="10"/>
  <c r="A189" i="6"/>
  <c r="A185" i="6"/>
  <c r="A184" i="6"/>
  <c r="A36" i="10"/>
  <c r="A180" i="6"/>
  <c r="A33" i="10"/>
  <c r="A181" i="6"/>
  <c r="A176" i="6"/>
  <c r="A20" i="10"/>
  <c r="A177" i="6"/>
  <c r="A122" i="6"/>
  <c r="A126" i="6"/>
  <c r="A123" i="6"/>
  <c r="A17" i="10"/>
  <c r="A127" i="6"/>
  <c r="A172" i="6"/>
  <c r="A173" i="6"/>
  <c r="A134" i="6"/>
  <c r="A130" i="6"/>
  <c r="A135" i="6"/>
  <c r="A13" i="10"/>
  <c r="A113" i="6"/>
  <c r="A114" i="6"/>
  <c r="A105" i="6"/>
  <c r="F13" i="20"/>
  <c r="G31" i="13"/>
  <c r="A6" i="19" a="1"/>
  <c r="B23" i="48" a="1"/>
  <c r="A157" i="6" a="1"/>
  <c r="A8" i="10" a="1"/>
  <c r="A89" i="47" a="1"/>
  <c r="A153" i="6" a="1"/>
  <c r="B30" i="20" a="1"/>
  <c r="A150" i="6" a="1"/>
  <c r="B45" i="11" a="1"/>
  <c r="B53" i="18" a="1"/>
  <c r="A8" i="18" a="1"/>
  <c r="A27" i="11" a="1"/>
  <c r="A86" i="6" a="1"/>
  <c r="A106" i="6" a="1"/>
  <c r="B65" i="16" a="1"/>
  <c r="A9" i="10" a="1"/>
  <c r="B18" i="23" a="1"/>
  <c r="A87" i="6" a="1"/>
  <c r="B22" i="48" a="1"/>
  <c r="A82" i="6" a="1"/>
  <c r="B18" i="24" a="1"/>
  <c r="A164" i="6" a="1"/>
  <c r="B26" i="36" a="1"/>
  <c r="A145" i="6" a="1"/>
  <c r="B27" i="22" a="1"/>
  <c r="A144" i="6" a="1"/>
  <c r="B54" i="18" a="1"/>
  <c r="B17" i="23" a="1"/>
  <c r="A143" i="6" a="1"/>
  <c r="B72" i="17" a="1"/>
  <c r="B68" i="15" a="1"/>
  <c r="B73" i="17" a="1"/>
  <c r="B52" i="18" a="1"/>
  <c r="B43" i="42" a="1"/>
  <c r="A116" i="6" a="1"/>
  <c r="A119" i="6" a="1"/>
  <c r="B42" i="42" a="1"/>
  <c r="B67" i="10" a="1"/>
  <c r="B177" i="14" a="1"/>
  <c r="B30" i="26" a="1"/>
  <c r="A140" i="6" a="1"/>
  <c r="B50" i="9" a="1"/>
  <c r="B26" i="22" a="1"/>
  <c r="B43" i="11" a="1"/>
  <c r="A117" i="6" a="1"/>
  <c r="A162" i="6" a="1"/>
  <c r="B49" i="9" a="1"/>
  <c r="B67" i="16" a="1"/>
  <c r="A163" i="56" a="1"/>
  <c r="A148" i="6" a="1"/>
  <c r="A154" i="6" a="1"/>
  <c r="B46" i="11" a="1"/>
  <c r="A158" i="6" a="1"/>
  <c r="A12" i="10" a="1"/>
  <c r="B67" i="19" a="1"/>
  <c r="B27" i="36" a="1"/>
  <c r="B67" i="15" a="1"/>
  <c r="A168" i="6" a="1"/>
  <c r="B17" i="24" a="1"/>
  <c r="B69" i="10" a="1"/>
  <c r="B74" i="17" a="1"/>
  <c r="A167" i="6" a="1"/>
  <c r="B31" i="20" a="1"/>
  <c r="A15" i="11" a="1"/>
  <c r="B66" i="19" a="1"/>
  <c r="B41" i="25" a="1"/>
  <c r="A89" i="6" a="1"/>
  <c r="B32" i="20" a="1"/>
  <c r="B66" i="16" a="1"/>
  <c r="B32" i="21" a="1"/>
  <c r="B42" i="25" a="1"/>
  <c r="B16" i="23" a="1"/>
  <c r="B44" i="11" a="1"/>
  <c r="A159" i="6" a="1"/>
  <c r="B28" i="26" a="1"/>
  <c r="A24" i="11" a="1"/>
  <c r="B68" i="10" a="1"/>
  <c r="B16" i="24" a="1"/>
  <c r="B176" i="14" a="1"/>
  <c r="B48" i="9" a="1"/>
  <c r="A139" i="6" a="1"/>
  <c r="A131" i="6" a="1"/>
  <c r="B41" i="42" a="1"/>
  <c r="A171" i="6" a="1"/>
  <c r="A83" i="6" a="1"/>
  <c r="B43" i="25" a="1"/>
  <c r="A138" i="6" a="1"/>
  <c r="B68" i="19" a="1"/>
  <c r="A155" i="6" a="1"/>
  <c r="B25" i="36" a="1"/>
  <c r="B28" i="22" a="1"/>
  <c r="B178" i="14" a="1"/>
  <c r="B30" i="21" a="1"/>
  <c r="A163" i="6" a="1"/>
  <c r="A9" i="16" a="1"/>
  <c r="A149" i="6" a="1"/>
  <c r="A23" i="11" a="1"/>
  <c r="B66" i="15" a="1"/>
  <c r="B31" i="21" a="1"/>
  <c r="B29" i="26" a="1"/>
  <c r="B21" i="48" a="1"/>
  <c r="G13" i="21" l="1"/>
  <c r="G15" i="21"/>
  <c r="G20" i="21"/>
  <c r="G14" i="20"/>
  <c r="G20" i="20"/>
  <c r="G21" i="20"/>
  <c r="G13" i="20"/>
  <c r="H31" i="13"/>
  <c r="H15" i="21" s="1"/>
  <c r="A9" i="16"/>
  <c r="A6" i="19"/>
  <c r="A8" i="18"/>
  <c r="A89" i="47"/>
  <c r="A106" i="6"/>
  <c r="A140" i="6"/>
  <c r="A12" i="10"/>
  <c r="A164" i="6"/>
  <c r="A159" i="6"/>
  <c r="A155" i="6"/>
  <c r="A150" i="6"/>
  <c r="A145" i="6"/>
  <c r="A171" i="6"/>
  <c r="A9" i="10"/>
  <c r="A168" i="6"/>
  <c r="A167" i="6"/>
  <c r="A8" i="10"/>
  <c r="B23" i="48"/>
  <c r="B21" i="48"/>
  <c r="B22" i="48"/>
  <c r="B30" i="26"/>
  <c r="B28" i="26"/>
  <c r="B29" i="26"/>
  <c r="B27" i="36"/>
  <c r="B25" i="36"/>
  <c r="B26" i="36"/>
  <c r="B43" i="25"/>
  <c r="B42" i="25"/>
  <c r="B41" i="25"/>
  <c r="B28" i="22"/>
  <c r="B27" i="22"/>
  <c r="B26" i="22"/>
  <c r="B18" i="24"/>
  <c r="B16" i="24"/>
  <c r="B17" i="24"/>
  <c r="B18" i="23"/>
  <c r="B16" i="23"/>
  <c r="B17" i="23"/>
  <c r="B32" i="20"/>
  <c r="B31" i="20"/>
  <c r="B30" i="20"/>
  <c r="B32" i="21"/>
  <c r="B31" i="21"/>
  <c r="B30" i="21"/>
  <c r="B68" i="19"/>
  <c r="B67" i="19"/>
  <c r="B66" i="19"/>
  <c r="B68" i="15"/>
  <c r="B66" i="15"/>
  <c r="B67" i="15"/>
  <c r="B54" i="18"/>
  <c r="B52" i="18"/>
  <c r="B53" i="18"/>
  <c r="B67" i="16"/>
  <c r="B66" i="16"/>
  <c r="B65" i="16"/>
  <c r="B74" i="17"/>
  <c r="B73" i="17"/>
  <c r="B72" i="17"/>
  <c r="B178" i="14"/>
  <c r="B176" i="14"/>
  <c r="B177" i="14"/>
  <c r="B43" i="42"/>
  <c r="B42" i="42"/>
  <c r="B41" i="42"/>
  <c r="B48" i="9"/>
  <c r="B49" i="9"/>
  <c r="B50" i="9"/>
  <c r="B67" i="10"/>
  <c r="B68" i="10"/>
  <c r="B69" i="10"/>
  <c r="B46" i="11"/>
  <c r="B45" i="11"/>
  <c r="B44" i="11"/>
  <c r="B43" i="11"/>
  <c r="A162" i="6"/>
  <c r="A27" i="11"/>
  <c r="A163" i="6"/>
  <c r="A157" i="6"/>
  <c r="A24" i="11"/>
  <c r="A153" i="6"/>
  <c r="A23" i="11"/>
  <c r="A154" i="6"/>
  <c r="A158" i="6"/>
  <c r="A148" i="6"/>
  <c r="A143" i="6"/>
  <c r="A149" i="6"/>
  <c r="A144" i="6"/>
  <c r="A15" i="11"/>
  <c r="A131" i="6"/>
  <c r="A89" i="6"/>
  <c r="A139" i="6"/>
  <c r="A138" i="6"/>
  <c r="A119" i="6"/>
  <c r="A117" i="6"/>
  <c r="A116" i="6"/>
  <c r="A83" i="6"/>
  <c r="A82" i="6"/>
  <c r="A86" i="6"/>
  <c r="A87" i="6"/>
  <c r="A163" i="56"/>
  <c r="A2" i="56"/>
  <c r="A2" i="55"/>
  <c r="A123" i="56" a="1"/>
  <c r="A110" i="6" a="1"/>
  <c r="A109" i="6" a="1"/>
  <c r="A143" i="56" a="1"/>
  <c r="A24" i="56" a="1"/>
  <c r="A63" i="56" a="1"/>
  <c r="A102" i="6" a="1"/>
  <c r="A101" i="6" a="1"/>
  <c r="A82" i="56" a="1"/>
  <c r="A94" i="6" a="1"/>
  <c r="A102" i="56" a="1"/>
  <c r="A5" i="56" a="1"/>
  <c r="A43" i="56" a="1"/>
  <c r="A98" i="6" a="1"/>
  <c r="A18" i="26" a="1"/>
  <c r="A97" i="6" a="1"/>
  <c r="A93" i="6" a="1"/>
  <c r="A11" i="12" a="1"/>
  <c r="H20" i="21" l="1"/>
  <c r="H14" i="20"/>
  <c r="H20" i="20"/>
  <c r="H21" i="20"/>
  <c r="I31" i="13"/>
  <c r="I15" i="21" s="1"/>
  <c r="H13" i="21"/>
  <c r="H13" i="20"/>
  <c r="A102" i="56"/>
  <c r="A123" i="56"/>
  <c r="A43" i="56"/>
  <c r="A82" i="56"/>
  <c r="A63" i="56"/>
  <c r="A24" i="56"/>
  <c r="A143" i="56"/>
  <c r="A5" i="56"/>
  <c r="A93" i="6"/>
  <c r="A94" i="6"/>
  <c r="A110" i="6"/>
  <c r="A109" i="6"/>
  <c r="A102" i="6"/>
  <c r="A101" i="6"/>
  <c r="A97" i="6"/>
  <c r="A98" i="6"/>
  <c r="A18" i="26"/>
  <c r="A11" i="12"/>
  <c r="J31" i="13" l="1"/>
  <c r="J15" i="21" s="1"/>
  <c r="I14" i="20"/>
  <c r="I20" i="20"/>
  <c r="I21" i="20"/>
  <c r="I20" i="21"/>
  <c r="I13" i="21"/>
  <c r="I13" i="20"/>
  <c r="O15" i="36"/>
  <c r="N15" i="36"/>
  <c r="M15" i="36"/>
  <c r="M153" i="6" s="1"/>
  <c r="L15" i="36"/>
  <c r="L23" i="10" s="1"/>
  <c r="L155" i="6" s="1"/>
  <c r="K15" i="36"/>
  <c r="K153" i="6" s="1"/>
  <c r="J15" i="36"/>
  <c r="J23" i="11" s="1"/>
  <c r="J154" i="6" s="1"/>
  <c r="I15" i="36"/>
  <c r="H15" i="36"/>
  <c r="H153" i="6" s="1"/>
  <c r="G15" i="36"/>
  <c r="F15" i="36"/>
  <c r="F23" i="10" s="1"/>
  <c r="F155" i="6" s="1"/>
  <c r="F14" i="36"/>
  <c r="G14" i="36"/>
  <c r="H14" i="36"/>
  <c r="I14" i="36"/>
  <c r="J14" i="36"/>
  <c r="K14" i="36"/>
  <c r="L14" i="36"/>
  <c r="M14" i="36"/>
  <c r="N14" i="36"/>
  <c r="O14" i="36"/>
  <c r="B22" i="2" a="1"/>
  <c r="A22" i="11" a="1"/>
  <c r="A17" i="13" a="1"/>
  <c r="A14" i="36" a="1"/>
  <c r="B22" i="36" a="1"/>
  <c r="D11" i="51" a="1"/>
  <c r="A23" i="10" a="1"/>
  <c r="B25" i="2" a="1"/>
  <c r="B8" i="2" a="1"/>
  <c r="H23" i="10" l="1"/>
  <c r="H155" i="6" s="1"/>
  <c r="K23" i="10"/>
  <c r="K155" i="6" s="1"/>
  <c r="K23" i="11"/>
  <c r="K154" i="6" s="1"/>
  <c r="O23" i="10"/>
  <c r="O155" i="6" s="1"/>
  <c r="O153" i="6"/>
  <c r="O23" i="11"/>
  <c r="O154" i="6" s="1"/>
  <c r="D15" i="36"/>
  <c r="F153" i="6"/>
  <c r="G23" i="10"/>
  <c r="G155" i="6" s="1"/>
  <c r="G153" i="6"/>
  <c r="M23" i="10"/>
  <c r="M155" i="6" s="1"/>
  <c r="N23" i="11"/>
  <c r="N154" i="6" s="1"/>
  <c r="N153" i="6"/>
  <c r="N23" i="10"/>
  <c r="N155" i="6" s="1"/>
  <c r="M23" i="11"/>
  <c r="M154" i="6" s="1"/>
  <c r="I23" i="10"/>
  <c r="I155" i="6" s="1"/>
  <c r="I153" i="6"/>
  <c r="J23" i="10"/>
  <c r="J155" i="6" s="1"/>
  <c r="J153" i="6"/>
  <c r="F23" i="11"/>
  <c r="F154" i="6" s="1"/>
  <c r="H23" i="11"/>
  <c r="H154" i="6" s="1"/>
  <c r="L23" i="11"/>
  <c r="L154" i="6" s="1"/>
  <c r="L153" i="6"/>
  <c r="K31" i="13"/>
  <c r="K15" i="21" s="1"/>
  <c r="J14" i="20"/>
  <c r="J20" i="20"/>
  <c r="J21" i="20"/>
  <c r="J20" i="21"/>
  <c r="J13" i="20"/>
  <c r="J13" i="21"/>
  <c r="A17" i="13"/>
  <c r="D11" i="51"/>
  <c r="B25" i="2"/>
  <c r="B22" i="2"/>
  <c r="B8" i="2"/>
  <c r="G23" i="11"/>
  <c r="G154" i="6" s="1"/>
  <c r="I23" i="11"/>
  <c r="I154" i="6" s="1"/>
  <c r="A23" i="10"/>
  <c r="A22" i="11"/>
  <c r="A14" i="36"/>
  <c r="B22" i="36"/>
  <c r="P9" i="47"/>
  <c r="Q9" i="47" s="1"/>
  <c r="F182" i="47" s="1"/>
  <c r="A6" i="42" a="1"/>
  <c r="A11" i="32" a="1"/>
  <c r="P101" i="41" a="1"/>
  <c r="Q80" i="41" a="1"/>
  <c r="Q79" i="41" a="1"/>
  <c r="Q78" i="41" a="1"/>
  <c r="P114" i="41" a="1"/>
  <c r="Q77" i="41" a="1"/>
  <c r="Q73" i="41" a="1"/>
  <c r="D155" i="6" l="1"/>
  <c r="L31" i="13"/>
  <c r="L15" i="21" s="1"/>
  <c r="K21" i="20"/>
  <c r="K20" i="21"/>
  <c r="K20" i="20"/>
  <c r="K14" i="20"/>
  <c r="K13" i="21"/>
  <c r="K13" i="20"/>
  <c r="D153" i="6"/>
  <c r="D154" i="6"/>
  <c r="Q80" i="41"/>
  <c r="Q78" i="41"/>
  <c r="Q79" i="41"/>
  <c r="Q77" i="41"/>
  <c r="Q73" i="41"/>
  <c r="P114" i="41"/>
  <c r="P101" i="41"/>
  <c r="A11" i="32"/>
  <c r="A6" i="42"/>
  <c r="M31" i="13" l="1"/>
  <c r="M15" i="21" s="1"/>
  <c r="L20" i="21"/>
  <c r="L21" i="20"/>
  <c r="L14" i="20"/>
  <c r="L20" i="20"/>
  <c r="L13" i="21"/>
  <c r="L13" i="20"/>
  <c r="B69" i="41"/>
  <c r="D28" i="41"/>
  <c r="E28" i="41" s="1"/>
  <c r="F28" i="41" s="1"/>
  <c r="G28" i="41" s="1"/>
  <c r="H28" i="41" s="1"/>
  <c r="I28" i="41" s="1"/>
  <c r="J28" i="41" s="1"/>
  <c r="K28" i="41" s="1"/>
  <c r="L28" i="41" s="1"/>
  <c r="B18" i="41" s="1"/>
  <c r="A34" i="42" a="1"/>
  <c r="Q74" i="41" a="1"/>
  <c r="B49" i="18" a="1"/>
  <c r="A30" i="12" a="1"/>
  <c r="B35" i="2" a="1"/>
  <c r="N31" i="13" l="1"/>
  <c r="N15" i="21" s="1"/>
  <c r="M20" i="21"/>
  <c r="M14" i="20"/>
  <c r="M20" i="20"/>
  <c r="M21" i="20"/>
  <c r="M13" i="21"/>
  <c r="M13" i="20"/>
  <c r="A30" i="12"/>
  <c r="Q74" i="41"/>
  <c r="B35" i="2"/>
  <c r="B49" i="18"/>
  <c r="A34" i="42"/>
  <c r="O31" i="13" l="1"/>
  <c r="O15" i="21" s="1"/>
  <c r="N14" i="20"/>
  <c r="N20" i="21"/>
  <c r="N20" i="20"/>
  <c r="N21" i="20"/>
  <c r="N13" i="21"/>
  <c r="N13" i="20"/>
  <c r="R3" i="6"/>
  <c r="F1" i="37"/>
  <c r="D33" i="42"/>
  <c r="A2" i="51"/>
  <c r="A2" i="9"/>
  <c r="A2" i="52"/>
  <c r="C92" i="41"/>
  <c r="P64" i="13"/>
  <c r="O64" i="13"/>
  <c r="N64" i="13"/>
  <c r="M64" i="13"/>
  <c r="L64" i="13"/>
  <c r="K64" i="13"/>
  <c r="J64" i="13"/>
  <c r="I64" i="13"/>
  <c r="H64" i="13"/>
  <c r="G64" i="13"/>
  <c r="F64" i="13"/>
  <c r="B63" i="19" a="1"/>
  <c r="B19" i="48" a="1"/>
  <c r="B14" i="23" a="1"/>
  <c r="B15" i="24" a="1"/>
  <c r="P77" i="41" a="1"/>
  <c r="P71" i="41" a="1"/>
  <c r="B29" i="21" a="1"/>
  <c r="B23" i="22" a="1"/>
  <c r="B64" i="16" a="1"/>
  <c r="B38" i="42" a="1"/>
  <c r="B65" i="15" a="1"/>
  <c r="B25" i="22" a="1"/>
  <c r="B38" i="25" a="1"/>
  <c r="B27" i="20" a="1"/>
  <c r="B47" i="9" a="1"/>
  <c r="B64" i="19" a="1"/>
  <c r="B21" i="2" a="1"/>
  <c r="B62" i="16" a="1"/>
  <c r="B20" i="2" a="1"/>
  <c r="B50" i="18" a="1"/>
  <c r="B71" i="17" a="1"/>
  <c r="B65" i="10" a="1"/>
  <c r="B14" i="24" a="1"/>
  <c r="B29" i="20" a="1"/>
  <c r="B19" i="2" a="1"/>
  <c r="B24" i="22" a="1"/>
  <c r="B40" i="42" a="1"/>
  <c r="P73" i="41" a="1"/>
  <c r="P79" i="41" a="1"/>
  <c r="B39" i="42" a="1"/>
  <c r="B69" i="17" a="1"/>
  <c r="B18" i="2" a="1"/>
  <c r="B39" i="25" a="1"/>
  <c r="B63" i="15" a="1"/>
  <c r="B20" i="48" a="1"/>
  <c r="B27" i="26" a="1"/>
  <c r="B65" i="19" a="1"/>
  <c r="B174" i="14" a="1"/>
  <c r="B70" i="17" a="1"/>
  <c r="B26" i="26" a="1"/>
  <c r="B46" i="9" a="1"/>
  <c r="B13" i="24" a="1"/>
  <c r="B64" i="15" a="1"/>
  <c r="A12" i="42" a="1"/>
  <c r="B51" i="18" a="1"/>
  <c r="P78" i="41" a="1"/>
  <c r="B28" i="20" a="1"/>
  <c r="B175" i="14" a="1"/>
  <c r="B173" i="14" a="1"/>
  <c r="B42" i="11" a="1"/>
  <c r="P92" i="41" a="1"/>
  <c r="P72" i="41" a="1"/>
  <c r="P80" i="41" a="1"/>
  <c r="B27" i="21" a="1"/>
  <c r="P88" i="41" a="1"/>
  <c r="B40" i="25" a="1"/>
  <c r="B23" i="36" a="1"/>
  <c r="B66" i="10" a="1"/>
  <c r="B63" i="16" a="1"/>
  <c r="B24" i="36" a="1"/>
  <c r="B18" i="48" a="1"/>
  <c r="B28" i="21" a="1"/>
  <c r="B25" i="26" a="1"/>
  <c r="B15" i="23" a="1"/>
  <c r="B13" i="23" a="1"/>
  <c r="P31" i="13" l="1"/>
  <c r="O21" i="20"/>
  <c r="O14" i="20"/>
  <c r="O20" i="20"/>
  <c r="O20" i="21"/>
  <c r="O13" i="20"/>
  <c r="O13" i="21"/>
  <c r="E33" i="42"/>
  <c r="D79" i="41"/>
  <c r="C66" i="1" s="1"/>
  <c r="B21" i="2"/>
  <c r="B46" i="9"/>
  <c r="B47" i="9"/>
  <c r="B66" i="10"/>
  <c r="B65" i="10"/>
  <c r="B42" i="11"/>
  <c r="B18" i="48"/>
  <c r="B19" i="48"/>
  <c r="B20" i="48"/>
  <c r="B25" i="26"/>
  <c r="B26" i="26"/>
  <c r="B27" i="26"/>
  <c r="B23" i="36"/>
  <c r="B24" i="36"/>
  <c r="B38" i="25"/>
  <c r="B39" i="25"/>
  <c r="B40" i="25"/>
  <c r="B23" i="22"/>
  <c r="B25" i="22"/>
  <c r="B24" i="22"/>
  <c r="B20" i="2"/>
  <c r="B38" i="42"/>
  <c r="B39" i="42"/>
  <c r="B40" i="42"/>
  <c r="B18" i="2"/>
  <c r="P71" i="41"/>
  <c r="P73" i="41"/>
  <c r="P72" i="41"/>
  <c r="P80" i="41"/>
  <c r="P78" i="41"/>
  <c r="P79" i="41"/>
  <c r="P77" i="41"/>
  <c r="A12" i="42"/>
  <c r="P92" i="41"/>
  <c r="P88" i="41"/>
  <c r="B13" i="24"/>
  <c r="B15" i="24"/>
  <c r="B14" i="24"/>
  <c r="B15" i="23"/>
  <c r="B14" i="23"/>
  <c r="B13" i="23"/>
  <c r="B28" i="20"/>
  <c r="B27" i="20"/>
  <c r="B29" i="20"/>
  <c r="B27" i="21"/>
  <c r="B28" i="21"/>
  <c r="B29" i="21"/>
  <c r="B65" i="19"/>
  <c r="B64" i="19"/>
  <c r="B63" i="19"/>
  <c r="B65" i="15"/>
  <c r="B64" i="15"/>
  <c r="B63" i="15"/>
  <c r="B174" i="14"/>
  <c r="B173" i="14"/>
  <c r="B175" i="14"/>
  <c r="B71" i="17"/>
  <c r="B69" i="17"/>
  <c r="B70" i="17"/>
  <c r="B64" i="16"/>
  <c r="B62" i="16"/>
  <c r="B63" i="16"/>
  <c r="B51" i="18"/>
  <c r="B50" i="18"/>
  <c r="B19" i="2"/>
  <c r="O57" i="17"/>
  <c r="N57" i="17"/>
  <c r="M57" i="17"/>
  <c r="L57" i="17"/>
  <c r="K57" i="17"/>
  <c r="J57" i="17"/>
  <c r="I57" i="17"/>
  <c r="H57" i="17"/>
  <c r="G57" i="17"/>
  <c r="F57" i="17"/>
  <c r="F48" i="17"/>
  <c r="O48" i="17"/>
  <c r="N48" i="17"/>
  <c r="M48" i="17"/>
  <c r="L48" i="17"/>
  <c r="K48" i="17"/>
  <c r="J48" i="17"/>
  <c r="I48" i="17"/>
  <c r="H48" i="17"/>
  <c r="G48" i="17"/>
  <c r="F39" i="17"/>
  <c r="O39" i="17"/>
  <c r="N39" i="17"/>
  <c r="M39" i="17"/>
  <c r="L39" i="17"/>
  <c r="K39" i="17"/>
  <c r="J39" i="17"/>
  <c r="I39" i="17"/>
  <c r="H39" i="17"/>
  <c r="G39" i="17"/>
  <c r="E31" i="51"/>
  <c r="O30" i="17"/>
  <c r="N31" i="51" s="1"/>
  <c r="N30" i="17"/>
  <c r="M31" i="51" s="1"/>
  <c r="M30" i="17"/>
  <c r="L31" i="51" s="1"/>
  <c r="L30" i="17"/>
  <c r="K31" i="51" s="1"/>
  <c r="K30" i="17"/>
  <c r="J31" i="51" s="1"/>
  <c r="J30" i="17"/>
  <c r="I31" i="51" s="1"/>
  <c r="I30" i="17"/>
  <c r="H31" i="51" s="1"/>
  <c r="H30" i="17"/>
  <c r="G31" i="51" s="1"/>
  <c r="F31" i="51"/>
  <c r="N62" i="47"/>
  <c r="M62" i="47"/>
  <c r="L62" i="47"/>
  <c r="K62" i="47"/>
  <c r="J62" i="47"/>
  <c r="I62" i="47"/>
  <c r="H59" i="47"/>
  <c r="H58" i="47"/>
  <c r="H57" i="47"/>
  <c r="H56" i="47"/>
  <c r="H55" i="47"/>
  <c r="H54" i="47"/>
  <c r="N53" i="47"/>
  <c r="M53" i="47"/>
  <c r="L53" i="47"/>
  <c r="K53" i="47"/>
  <c r="J53" i="47"/>
  <c r="I53" i="47"/>
  <c r="N44" i="47"/>
  <c r="M44" i="47"/>
  <c r="L44" i="47"/>
  <c r="K44" i="47"/>
  <c r="J44" i="47"/>
  <c r="I44" i="47"/>
  <c r="H41" i="47"/>
  <c r="H40" i="47"/>
  <c r="H39" i="47"/>
  <c r="H38" i="47"/>
  <c r="H37" i="47"/>
  <c r="H36" i="47"/>
  <c r="N35" i="47"/>
  <c r="M35" i="47"/>
  <c r="L35" i="47"/>
  <c r="K35" i="47"/>
  <c r="J35" i="47"/>
  <c r="I35" i="47"/>
  <c r="H32" i="47"/>
  <c r="H31" i="47"/>
  <c r="H30" i="47"/>
  <c r="H29" i="47"/>
  <c r="H28" i="47"/>
  <c r="H27" i="47"/>
  <c r="N26" i="47"/>
  <c r="M26" i="47"/>
  <c r="L26" i="47"/>
  <c r="K26" i="47"/>
  <c r="J26" i="47"/>
  <c r="I26" i="47"/>
  <c r="C6" i="51"/>
  <c r="C10" i="51"/>
  <c r="C12" i="51"/>
  <c r="C18" i="51"/>
  <c r="C21" i="51"/>
  <c r="C9" i="51" s="1"/>
  <c r="E34" i="51"/>
  <c r="F34" i="51"/>
  <c r="G34" i="51"/>
  <c r="H34" i="51"/>
  <c r="I34" i="51"/>
  <c r="J34" i="51"/>
  <c r="K34" i="51"/>
  <c r="L34" i="51"/>
  <c r="M34" i="51"/>
  <c r="N34" i="51"/>
  <c r="A57" i="17" a="1"/>
  <c r="R22" i="41" a="1"/>
  <c r="A38" i="17" a="1"/>
  <c r="A48" i="17" a="1"/>
  <c r="A30" i="17" a="1"/>
  <c r="P24" i="41" a="1"/>
  <c r="B11" i="2" a="1"/>
  <c r="R21" i="41" a="1"/>
  <c r="R23" i="41" a="1"/>
  <c r="R24" i="41" a="1"/>
  <c r="Q24" i="41" a="1"/>
  <c r="A17" i="17" a="1"/>
  <c r="D5" i="51" a="1"/>
  <c r="R20" i="41" a="1"/>
  <c r="L22" i="17" l="1"/>
  <c r="K22" i="17"/>
  <c r="J22" i="17"/>
  <c r="I22" i="17"/>
  <c r="H22" i="17"/>
  <c r="G22" i="17"/>
  <c r="M22" i="17"/>
  <c r="O22" i="17"/>
  <c r="N22" i="17"/>
  <c r="F23" i="17"/>
  <c r="F22" i="17"/>
  <c r="F21" i="17"/>
  <c r="A57" i="17"/>
  <c r="A48" i="17"/>
  <c r="A38" i="17"/>
  <c r="A30" i="17"/>
  <c r="A17" i="17"/>
  <c r="D5" i="51"/>
  <c r="R23" i="41"/>
  <c r="R22" i="41"/>
  <c r="Q24" i="41"/>
  <c r="P24" i="41"/>
  <c r="R24" i="41"/>
  <c r="R21" i="41"/>
  <c r="R20" i="41"/>
  <c r="B11" i="2"/>
  <c r="A86" i="47"/>
  <c r="N192" i="6" l="1"/>
  <c r="O192" i="6"/>
  <c r="F196" i="6"/>
  <c r="M192" i="6"/>
  <c r="G192" i="6"/>
  <c r="H192" i="6"/>
  <c r="I192" i="6"/>
  <c r="F192" i="6"/>
  <c r="J192" i="6"/>
  <c r="K192" i="6"/>
  <c r="L192" i="6"/>
  <c r="G87" i="47"/>
  <c r="H87" i="47" s="1"/>
  <c r="I87" i="47" s="1"/>
  <c r="J87" i="47" s="1"/>
  <c r="K87" i="47" s="1"/>
  <c r="L87" i="47" s="1"/>
  <c r="M87" i="47" s="1"/>
  <c r="N87" i="47" s="1"/>
  <c r="O87" i="47" s="1"/>
  <c r="D87" i="47" s="1"/>
  <c r="A91" i="47" a="1"/>
  <c r="A92" i="47" a="1"/>
  <c r="D192" i="6" l="1"/>
  <c r="A91" i="47"/>
  <c r="A92" i="47"/>
  <c r="A93" i="47" a="1"/>
  <c r="A93" i="47" l="1"/>
  <c r="A94" i="47" a="1"/>
  <c r="A94" i="47" l="1"/>
  <c r="A95" i="47" a="1"/>
  <c r="A95" i="47" l="1"/>
  <c r="A99" i="47" a="1"/>
  <c r="A99" i="47" l="1"/>
  <c r="A100" i="47" a="1"/>
  <c r="A100" i="47" l="1"/>
  <c r="D103" i="47"/>
  <c r="A105" i="47" a="1"/>
  <c r="A105" i="47" l="1"/>
  <c r="D107" i="47"/>
  <c r="A121" i="47"/>
  <c r="A108" i="47" a="1"/>
  <c r="A106" i="47" a="1"/>
  <c r="A127" i="47" a="1"/>
  <c r="A108" i="47" l="1"/>
  <c r="A106" i="47"/>
  <c r="G122" i="47"/>
  <c r="H122" i="47" s="1"/>
  <c r="I122" i="47" s="1"/>
  <c r="J122" i="47" s="1"/>
  <c r="K122" i="47" s="1"/>
  <c r="L122" i="47" s="1"/>
  <c r="M122" i="47" s="1"/>
  <c r="N122" i="47" s="1"/>
  <c r="O122" i="47" s="1"/>
  <c r="D122" i="47" s="1"/>
  <c r="A127" i="47"/>
  <c r="A128" i="47" a="1"/>
  <c r="A132" i="47" a="1"/>
  <c r="A131" i="47" a="1"/>
  <c r="A131" i="47" l="1"/>
  <c r="A128" i="47"/>
  <c r="A132" i="47"/>
  <c r="A133" i="47" a="1"/>
  <c r="A133" i="47" l="1"/>
  <c r="A134" i="47" a="1"/>
  <c r="A134" i="47" l="1"/>
  <c r="A135" i="47" a="1"/>
  <c r="A135" i="47" l="1"/>
  <c r="A136" i="47" a="1"/>
  <c r="A136" i="47" l="1"/>
  <c r="A137" i="47" a="1"/>
  <c r="A137" i="47" l="1"/>
  <c r="A140" i="47" a="1"/>
  <c r="A140" i="47" l="1"/>
  <c r="D142" i="47"/>
  <c r="D150" i="47"/>
  <c r="A143" i="47" a="1"/>
  <c r="A151" i="47" a="1"/>
  <c r="A143" i="47" l="1"/>
  <c r="A151" i="47"/>
  <c r="A154" i="47" a="1"/>
  <c r="A154" i="47" l="1"/>
  <c r="D155" i="47"/>
  <c r="A161" i="47" a="1"/>
  <c r="A161" i="47" l="1"/>
  <c r="D162" i="47"/>
  <c r="D163" i="47"/>
  <c r="A164" i="47" a="1"/>
  <c r="A164" i="47" l="1"/>
  <c r="F164" i="47"/>
  <c r="G164" i="47"/>
  <c r="H164" i="47"/>
  <c r="I164" i="47"/>
  <c r="J164" i="47"/>
  <c r="K164" i="47"/>
  <c r="L164" i="47"/>
  <c r="M164" i="47"/>
  <c r="N164" i="47"/>
  <c r="O164" i="47"/>
  <c r="F167" i="47"/>
  <c r="D169" i="47"/>
  <c r="A180" i="47"/>
  <c r="G182" i="47"/>
  <c r="H182" i="47" s="1"/>
  <c r="I182" i="47" s="1"/>
  <c r="J182" i="47" s="1"/>
  <c r="K182" i="47" s="1"/>
  <c r="L182" i="47" s="1"/>
  <c r="M182" i="47" s="1"/>
  <c r="N182" i="47" s="1"/>
  <c r="O182" i="47" s="1"/>
  <c r="A184" i="47" a="1"/>
  <c r="A167" i="47" a="1"/>
  <c r="D164" i="47" l="1"/>
  <c r="D181" i="47"/>
  <c r="A167" i="47"/>
  <c r="A184" i="47"/>
  <c r="B15" i="47"/>
  <c r="S3" i="48"/>
  <c r="T3" i="48" s="1"/>
  <c r="U3" i="48" s="1"/>
  <c r="V3" i="48" s="1"/>
  <c r="W3" i="48" s="1"/>
  <c r="X3" i="48" s="1"/>
  <c r="Y3" i="48" s="1"/>
  <c r="Z3" i="48" s="1"/>
  <c r="AA3" i="48" s="1"/>
  <c r="G3" i="48"/>
  <c r="H3" i="48" s="1"/>
  <c r="I3" i="48" s="1"/>
  <c r="J3" i="48" s="1"/>
  <c r="K3" i="48" s="1"/>
  <c r="L3" i="48" s="1"/>
  <c r="M3" i="48" s="1"/>
  <c r="N3" i="48" s="1"/>
  <c r="O3" i="48" s="1"/>
  <c r="D3" i="48" s="1"/>
  <c r="S2" i="48"/>
  <c r="T2" i="48" s="1"/>
  <c r="U2" i="48" s="1"/>
  <c r="V2" i="48" s="1"/>
  <c r="W2" i="48" s="1"/>
  <c r="X2" i="48" s="1"/>
  <c r="Y2" i="48" s="1"/>
  <c r="Z2" i="48" s="1"/>
  <c r="AA2" i="48" s="1"/>
  <c r="A2" i="48"/>
  <c r="G3" i="47"/>
  <c r="H3" i="47" s="1"/>
  <c r="I3" i="47" s="1"/>
  <c r="J3" i="47" s="1"/>
  <c r="K3" i="47" s="1"/>
  <c r="L3" i="47" s="1"/>
  <c r="M3" i="47" s="1"/>
  <c r="N3" i="47" s="1"/>
  <c r="O3" i="47" s="1"/>
  <c r="A2" i="47"/>
  <c r="K29" i="41"/>
  <c r="J29" i="41"/>
  <c r="I29" i="41"/>
  <c r="H29" i="41"/>
  <c r="G29" i="41"/>
  <c r="F29" i="41"/>
  <c r="E29" i="41"/>
  <c r="D29" i="41"/>
  <c r="C29" i="41"/>
  <c r="L29" i="41"/>
  <c r="M32" i="41"/>
  <c r="M31" i="41"/>
  <c r="M30" i="41"/>
  <c r="S3" i="42"/>
  <c r="T3" i="42" s="1"/>
  <c r="U3" i="42" s="1"/>
  <c r="V3" i="42" s="1"/>
  <c r="W3" i="42" s="1"/>
  <c r="X3" i="42" s="1"/>
  <c r="Y3" i="42" s="1"/>
  <c r="Z3" i="42" s="1"/>
  <c r="AA3" i="42" s="1"/>
  <c r="G3" i="42"/>
  <c r="H3" i="42" s="1"/>
  <c r="I3" i="42" s="1"/>
  <c r="J3" i="42" s="1"/>
  <c r="K3" i="42" s="1"/>
  <c r="L3" i="42" s="1"/>
  <c r="M3" i="42" s="1"/>
  <c r="N3" i="42" s="1"/>
  <c r="O3" i="42" s="1"/>
  <c r="S2" i="42"/>
  <c r="T2" i="42" s="1"/>
  <c r="U2" i="42" s="1"/>
  <c r="V2" i="42" s="1"/>
  <c r="W2" i="42" s="1"/>
  <c r="X2" i="42" s="1"/>
  <c r="Y2" i="42" s="1"/>
  <c r="Z2" i="42" s="1"/>
  <c r="AA2" i="42" s="1"/>
  <c r="A2" i="42"/>
  <c r="O25" i="25"/>
  <c r="N25" i="25"/>
  <c r="M25" i="25"/>
  <c r="L25" i="25"/>
  <c r="K25" i="25"/>
  <c r="J25" i="25"/>
  <c r="I25" i="25"/>
  <c r="H25" i="25"/>
  <c r="G25" i="25"/>
  <c r="O24" i="25"/>
  <c r="N24" i="25"/>
  <c r="M24" i="25"/>
  <c r="L24" i="25"/>
  <c r="K24" i="25"/>
  <c r="J24" i="25"/>
  <c r="I24" i="25"/>
  <c r="H24" i="25"/>
  <c r="G24" i="25"/>
  <c r="F25" i="25"/>
  <c r="F24" i="25"/>
  <c r="O12" i="25"/>
  <c r="N12" i="25"/>
  <c r="M12" i="25"/>
  <c r="L12" i="25"/>
  <c r="K12" i="25"/>
  <c r="J12" i="25"/>
  <c r="I12" i="25"/>
  <c r="H12" i="25"/>
  <c r="G12" i="25"/>
  <c r="O11" i="25"/>
  <c r="N11" i="25"/>
  <c r="M11" i="25"/>
  <c r="L11" i="25"/>
  <c r="K11" i="25"/>
  <c r="J11" i="25"/>
  <c r="I11" i="25"/>
  <c r="H11" i="25"/>
  <c r="G11" i="25"/>
  <c r="F12" i="25"/>
  <c r="F11" i="25"/>
  <c r="A15" i="22" a="1"/>
  <c r="A20" i="25" a="1"/>
  <c r="A13" i="15" a="1"/>
  <c r="A7" i="42" a="1"/>
  <c r="B9" i="2" a="1"/>
  <c r="A22" i="14" a="1"/>
  <c r="P103" i="41" a="1"/>
  <c r="P102" i="41" a="1"/>
  <c r="A10" i="42" a="1"/>
  <c r="B12" i="2" a="1"/>
  <c r="B44" i="2" a="1"/>
  <c r="A11" i="42" a="1"/>
  <c r="P20" i="41" a="1"/>
  <c r="A8" i="42" a="1"/>
  <c r="A5" i="16" a="1"/>
  <c r="A6" i="25" a="1"/>
  <c r="A9" i="42" a="1"/>
  <c r="A14" i="22" a="1"/>
  <c r="B10" i="2" a="1"/>
  <c r="P74" i="41" a="1"/>
  <c r="I23" i="25" l="1"/>
  <c r="M29" i="41"/>
  <c r="J23" i="25"/>
  <c r="K23" i="25"/>
  <c r="M23" i="25"/>
  <c r="N10" i="25"/>
  <c r="N23" i="25"/>
  <c r="O10" i="25"/>
  <c r="G23" i="25"/>
  <c r="L23" i="25"/>
  <c r="H23" i="25"/>
  <c r="H10" i="25"/>
  <c r="O23" i="25"/>
  <c r="F23" i="25"/>
  <c r="B10" i="2"/>
  <c r="B9" i="2"/>
  <c r="D3" i="47"/>
  <c r="B44" i="2"/>
  <c r="A15" i="22"/>
  <c r="A14" i="22"/>
  <c r="A5" i="16"/>
  <c r="A13" i="15"/>
  <c r="A22" i="14"/>
  <c r="B12" i="2"/>
  <c r="P74" i="41"/>
  <c r="A11" i="42"/>
  <c r="A10" i="42"/>
  <c r="A9" i="42"/>
  <c r="A8" i="42"/>
  <c r="A7" i="42"/>
  <c r="D3" i="42"/>
  <c r="P103" i="41"/>
  <c r="P102" i="41"/>
  <c r="P20" i="41"/>
  <c r="J10" i="25"/>
  <c r="A20" i="25"/>
  <c r="F10" i="25"/>
  <c r="K10" i="25"/>
  <c r="L10" i="25"/>
  <c r="M10" i="25"/>
  <c r="I10" i="25"/>
  <c r="G10" i="25"/>
  <c r="A6" i="25"/>
  <c r="W37" i="13"/>
  <c r="V37" i="13"/>
  <c r="U37" i="13"/>
  <c r="P37" i="13"/>
  <c r="O37" i="13"/>
  <c r="N37" i="13"/>
  <c r="M37" i="13"/>
  <c r="L37" i="13"/>
  <c r="K37" i="13"/>
  <c r="J37" i="13"/>
  <c r="I37" i="13"/>
  <c r="H37" i="13"/>
  <c r="G37" i="13"/>
  <c r="F37" i="13"/>
  <c r="P33" i="13"/>
  <c r="O33" i="13"/>
  <c r="N33" i="13"/>
  <c r="M33" i="13"/>
  <c r="L33" i="13"/>
  <c r="K33" i="13"/>
  <c r="J33" i="13"/>
  <c r="I33" i="13"/>
  <c r="H33" i="13"/>
  <c r="G33" i="13"/>
  <c r="F33" i="13"/>
  <c r="O74" i="6"/>
  <c r="N74" i="6"/>
  <c r="M74" i="6"/>
  <c r="L74" i="6"/>
  <c r="K74" i="6"/>
  <c r="J74" i="6"/>
  <c r="I74" i="6"/>
  <c r="H74" i="6"/>
  <c r="G74" i="6"/>
  <c r="F74" i="6"/>
  <c r="R59" i="26" a="1"/>
  <c r="R59" i="26" s="1"/>
  <c r="Q59" i="26" a="1"/>
  <c r="Q59" i="26" s="1"/>
  <c r="G184" i="47"/>
  <c r="F184" i="47"/>
  <c r="P19" i="41"/>
  <c r="Q19" i="41"/>
  <c r="R19" i="41"/>
  <c r="M115" i="41"/>
  <c r="F95" i="7"/>
  <c r="F94" i="7" s="1"/>
  <c r="F9" i="15"/>
  <c r="A76" i="6" a="1"/>
  <c r="A73" i="6" a="1"/>
  <c r="P5" i="41" a="1"/>
  <c r="P87" i="41" a="1"/>
  <c r="A66" i="6" a="1"/>
  <c r="P23" i="41" a="1"/>
  <c r="P66" i="41" a="1"/>
  <c r="P46" i="41" a="1"/>
  <c r="P22" i="41" a="1"/>
  <c r="Q20" i="41" a="1"/>
  <c r="A69" i="6" a="1"/>
  <c r="P10" i="41" a="1"/>
  <c r="P37" i="41" a="1"/>
  <c r="P55" i="41" a="1"/>
  <c r="Q5" i="41" a="1"/>
  <c r="Q21" i="41" a="1"/>
  <c r="Q22" i="41" a="1"/>
  <c r="P86" i="41" a="1"/>
  <c r="P49" i="41" a="1"/>
  <c r="A74" i="6" a="1"/>
  <c r="P21" i="41" a="1"/>
  <c r="Q23" i="41" a="1"/>
  <c r="P36" i="41" a="1"/>
  <c r="P35" i="41" a="1"/>
  <c r="A30" i="32" a="1"/>
  <c r="A68" i="6" a="1"/>
  <c r="A75" i="6" a="1"/>
  <c r="D74" i="6" l="1"/>
  <c r="C87" i="41"/>
  <c r="D36" i="41"/>
  <c r="D101" i="41"/>
  <c r="C36" i="41"/>
  <c r="C101" i="41"/>
  <c r="A69" i="6"/>
  <c r="A76" i="6"/>
  <c r="A73" i="6"/>
  <c r="A75" i="6"/>
  <c r="A74" i="6"/>
  <c r="A68" i="6"/>
  <c r="A66" i="6"/>
  <c r="Q5" i="41"/>
  <c r="P5" i="41"/>
  <c r="P46" i="41"/>
  <c r="P49" i="41"/>
  <c r="P55" i="41"/>
  <c r="P66" i="41"/>
  <c r="P87" i="41"/>
  <c r="P86" i="41"/>
  <c r="P35" i="41"/>
  <c r="P36" i="41"/>
  <c r="P10" i="41"/>
  <c r="P37" i="41"/>
  <c r="M47" i="41"/>
  <c r="Q23" i="41"/>
  <c r="Q22" i="41"/>
  <c r="P23" i="41"/>
  <c r="P22" i="41"/>
  <c r="A30" i="32"/>
  <c r="Q21" i="41"/>
  <c r="P21" i="41"/>
  <c r="Q20" i="41"/>
  <c r="C86" i="41"/>
  <c r="B3" i="41" l="1"/>
  <c r="A2" i="6"/>
  <c r="C112" i="41"/>
  <c r="M56" i="41"/>
  <c r="P3" i="41" a="1"/>
  <c r="P3" i="41" l="1"/>
  <c r="M54" i="41" l="1"/>
  <c r="O29" i="19" l="1"/>
  <c r="N29" i="19"/>
  <c r="M29" i="19"/>
  <c r="L29" i="19"/>
  <c r="K29" i="19"/>
  <c r="J29" i="19"/>
  <c r="I29" i="19"/>
  <c r="H29" i="19"/>
  <c r="G29" i="19"/>
  <c r="F29" i="19"/>
  <c r="O28" i="19"/>
  <c r="N28" i="19"/>
  <c r="M28" i="19"/>
  <c r="L28" i="19"/>
  <c r="K28" i="19"/>
  <c r="J28" i="19"/>
  <c r="I28" i="19"/>
  <c r="H28" i="19"/>
  <c r="G28" i="19"/>
  <c r="F28" i="19"/>
  <c r="B28" i="2" a="1"/>
  <c r="B32" i="2" a="1"/>
  <c r="A24" i="19" a="1"/>
  <c r="B33" i="2" a="1"/>
  <c r="A28" i="19" a="1"/>
  <c r="B39" i="2" a="1"/>
  <c r="B29" i="2" a="1"/>
  <c r="A29" i="19" a="1"/>
  <c r="B38" i="2" a="1"/>
  <c r="B34" i="2" a="1"/>
  <c r="B36" i="2" a="1"/>
  <c r="B37" i="2" a="1"/>
  <c r="B27" i="2" a="1"/>
  <c r="B30" i="2" a="1"/>
  <c r="N27" i="19" l="1"/>
  <c r="N55" i="19" s="1"/>
  <c r="H27" i="19"/>
  <c r="H55" i="19" s="1"/>
  <c r="G27" i="19"/>
  <c r="G55" i="19" s="1"/>
  <c r="L27" i="19"/>
  <c r="L55" i="19" s="1"/>
  <c r="J27" i="19"/>
  <c r="J55" i="19" s="1"/>
  <c r="B30" i="2"/>
  <c r="B29" i="2"/>
  <c r="B39" i="2"/>
  <c r="B38" i="2"/>
  <c r="B37" i="2"/>
  <c r="B34" i="2"/>
  <c r="B33" i="2"/>
  <c r="B32" i="2"/>
  <c r="B27" i="2"/>
  <c r="B28" i="2"/>
  <c r="B36" i="2"/>
  <c r="I27" i="19"/>
  <c r="I55" i="19" s="1"/>
  <c r="M27" i="19"/>
  <c r="M55" i="19" s="1"/>
  <c r="O27" i="19"/>
  <c r="O55" i="19" s="1"/>
  <c r="K27" i="19"/>
  <c r="K55" i="19" s="1"/>
  <c r="F27" i="19"/>
  <c r="F55" i="19" s="1"/>
  <c r="A29" i="19"/>
  <c r="A28" i="19"/>
  <c r="A24" i="19"/>
  <c r="D28" i="19"/>
  <c r="S3" i="32"/>
  <c r="S2" i="32"/>
  <c r="S3" i="12"/>
  <c r="S2" i="12"/>
  <c r="S3" i="31"/>
  <c r="S2" i="31"/>
  <c r="S3" i="29"/>
  <c r="S2" i="29"/>
  <c r="S3" i="28"/>
  <c r="S2" i="28"/>
  <c r="S3" i="26"/>
  <c r="S2" i="26"/>
  <c r="S3" i="36"/>
  <c r="S2" i="36"/>
  <c r="S3" i="25"/>
  <c r="S2" i="25"/>
  <c r="S3" i="22"/>
  <c r="S2" i="22"/>
  <c r="S3" i="9"/>
  <c r="S2" i="9"/>
  <c r="S3" i="10"/>
  <c r="S2" i="10"/>
  <c r="S3" i="11"/>
  <c r="S2" i="11"/>
  <c r="S3" i="24"/>
  <c r="S2" i="24"/>
  <c r="S3" i="23"/>
  <c r="S2" i="23"/>
  <c r="S3" i="20"/>
  <c r="S2" i="20"/>
  <c r="S3" i="21"/>
  <c r="S2" i="21"/>
  <c r="U3" i="19"/>
  <c r="V3" i="19" s="1"/>
  <c r="U2" i="19"/>
  <c r="V2" i="19" s="1"/>
  <c r="U3" i="15"/>
  <c r="U2" i="15"/>
  <c r="U3" i="18" a="1"/>
  <c r="U3" i="18" s="1"/>
  <c r="U2" i="18"/>
  <c r="U3" i="16"/>
  <c r="U2" i="16"/>
  <c r="U2" i="17"/>
  <c r="U3" i="17"/>
  <c r="A71" i="6" a="1"/>
  <c r="B23" i="2" a="1"/>
  <c r="D55" i="19" l="1"/>
  <c r="D27" i="19"/>
  <c r="A71" i="6"/>
  <c r="B23" i="2"/>
  <c r="F2" i="37"/>
  <c r="A2" i="37"/>
  <c r="T2" i="36"/>
  <c r="U2" i="36" s="1"/>
  <c r="V2" i="36" s="1"/>
  <c r="W2" i="36" s="1"/>
  <c r="X2" i="36" s="1"/>
  <c r="Y2" i="36" s="1"/>
  <c r="Z2" i="36" s="1"/>
  <c r="AA2" i="36" s="1"/>
  <c r="A2" i="36"/>
  <c r="C20" i="37" a="1"/>
  <c r="C36" i="37" a="1"/>
  <c r="C10" i="37" a="1"/>
  <c r="B50" i="2" a="1"/>
  <c r="C24" i="37" a="1"/>
  <c r="C12" i="37" a="1"/>
  <c r="C32" i="37" a="1"/>
  <c r="C16" i="37" a="1"/>
  <c r="C6" i="37" a="1"/>
  <c r="C26" i="37" a="1"/>
  <c r="C22" i="37" a="1"/>
  <c r="C30" i="37" a="1"/>
  <c r="C28" i="37" a="1"/>
  <c r="C18" i="37" a="1"/>
  <c r="B51" i="2" a="1"/>
  <c r="C14" i="37" a="1"/>
  <c r="C8" i="37" a="1"/>
  <c r="C34" i="37" a="1"/>
  <c r="C36" i="37" l="1"/>
  <c r="C34" i="37"/>
  <c r="C32" i="37"/>
  <c r="C30" i="37"/>
  <c r="C28" i="37"/>
  <c r="C26" i="37"/>
  <c r="C24" i="37"/>
  <c r="C22" i="37"/>
  <c r="C20" i="37"/>
  <c r="B50" i="2"/>
  <c r="C18" i="37"/>
  <c r="C16" i="37"/>
  <c r="C6" i="37"/>
  <c r="C8" i="37"/>
  <c r="C10" i="37"/>
  <c r="C12" i="37"/>
  <c r="C14" i="37"/>
  <c r="B51" i="2"/>
  <c r="G3" i="36"/>
  <c r="H3" i="36" s="1"/>
  <c r="I3" i="36" s="1"/>
  <c r="J3" i="36" s="1"/>
  <c r="K3" i="36" s="1"/>
  <c r="L3" i="36" s="1"/>
  <c r="M3" i="36" s="1"/>
  <c r="N3" i="36" s="1"/>
  <c r="O3" i="36" s="1"/>
  <c r="T3" i="36" s="1"/>
  <c r="U3" i="36" s="1"/>
  <c r="V3" i="36" s="1"/>
  <c r="W3" i="36" s="1"/>
  <c r="X3" i="36" s="1"/>
  <c r="Y3" i="36" s="1"/>
  <c r="Z3" i="36" s="1"/>
  <c r="AA3" i="36" s="1"/>
  <c r="D3" i="36" l="1"/>
  <c r="A2" i="33"/>
  <c r="A29" i="32" a="1"/>
  <c r="A29" i="32" l="1"/>
  <c r="T2" i="32"/>
  <c r="U2" i="32" s="1"/>
  <c r="V2" i="32" s="1"/>
  <c r="W2" i="32" s="1"/>
  <c r="X2" i="32" s="1"/>
  <c r="Y2" i="32" s="1"/>
  <c r="Z2" i="32" s="1"/>
  <c r="AA2" i="32" s="1"/>
  <c r="A2" i="32"/>
  <c r="D23" i="28"/>
  <c r="D23" i="11"/>
  <c r="O31" i="31"/>
  <c r="N31" i="31"/>
  <c r="M31" i="31"/>
  <c r="L31" i="31"/>
  <c r="K31" i="31"/>
  <c r="J31" i="31"/>
  <c r="I31" i="31"/>
  <c r="H31" i="31"/>
  <c r="G31" i="31"/>
  <c r="F31" i="31"/>
  <c r="G3" i="31"/>
  <c r="H3" i="31" s="1"/>
  <c r="I3" i="31" s="1"/>
  <c r="J3" i="31" s="1"/>
  <c r="K3" i="31" s="1"/>
  <c r="L3" i="31" s="1"/>
  <c r="M3" i="31" s="1"/>
  <c r="N3" i="31" s="1"/>
  <c r="O3" i="31" s="1"/>
  <c r="T3" i="31" s="1"/>
  <c r="U3" i="31" s="1"/>
  <c r="V3" i="31" s="1"/>
  <c r="W3" i="31" s="1"/>
  <c r="X3" i="31" s="1"/>
  <c r="Y3" i="31" s="1"/>
  <c r="Z3" i="31" s="1"/>
  <c r="AA3" i="31" s="1"/>
  <c r="T2" i="31"/>
  <c r="U2" i="31" s="1"/>
  <c r="V2" i="31" s="1"/>
  <c r="W2" i="31" s="1"/>
  <c r="X2" i="31" s="1"/>
  <c r="Y2" i="31" s="1"/>
  <c r="Z2" i="31" s="1"/>
  <c r="AA2" i="31" s="1"/>
  <c r="A2" i="31"/>
  <c r="F16" i="14"/>
  <c r="F94" i="47" s="1"/>
  <c r="F10" i="14"/>
  <c r="F10" i="11" s="1"/>
  <c r="O67" i="14"/>
  <c r="N67" i="14"/>
  <c r="M67" i="14"/>
  <c r="L67" i="14"/>
  <c r="K67" i="14"/>
  <c r="J67" i="14"/>
  <c r="I67" i="14"/>
  <c r="H67" i="14"/>
  <c r="G67" i="14"/>
  <c r="F67" i="14"/>
  <c r="O48" i="14"/>
  <c r="N48" i="14"/>
  <c r="M48" i="14"/>
  <c r="L48" i="14"/>
  <c r="K48" i="14"/>
  <c r="J48" i="14"/>
  <c r="I48" i="14"/>
  <c r="H48" i="14"/>
  <c r="G48" i="14"/>
  <c r="F48" i="14"/>
  <c r="F31" i="14"/>
  <c r="G31" i="14"/>
  <c r="H31" i="14"/>
  <c r="I31" i="14"/>
  <c r="J31" i="14"/>
  <c r="K31" i="14"/>
  <c r="L31" i="14"/>
  <c r="M31" i="14"/>
  <c r="N31" i="14"/>
  <c r="O31" i="14"/>
  <c r="A7" i="31" a="1"/>
  <c r="A31" i="14" a="1"/>
  <c r="A67" i="14" a="1"/>
  <c r="A48" i="14" a="1"/>
  <c r="A10" i="11" a="1"/>
  <c r="A24" i="31" a="1"/>
  <c r="A19" i="31" a="1"/>
  <c r="A7" i="9" a="1"/>
  <c r="A27" i="31" a="1"/>
  <c r="A7" i="26" a="1"/>
  <c r="A25" i="31" a="1"/>
  <c r="G3" i="32" l="1"/>
  <c r="H3" i="32" s="1"/>
  <c r="I3" i="32" s="1"/>
  <c r="J3" i="32" s="1"/>
  <c r="K3" i="32" s="1"/>
  <c r="L3" i="32" s="1"/>
  <c r="M3" i="32" s="1"/>
  <c r="N3" i="32" s="1"/>
  <c r="O3" i="32" s="1"/>
  <c r="T3" i="32" s="1"/>
  <c r="U3" i="32" s="1"/>
  <c r="V3" i="32" s="1"/>
  <c r="W3" i="32" s="1"/>
  <c r="X3" i="32" s="1"/>
  <c r="Y3" i="32" s="1"/>
  <c r="Z3" i="32" s="1"/>
  <c r="AA3" i="32" s="1"/>
  <c r="A7" i="26"/>
  <c r="A7" i="9"/>
  <c r="A25" i="31"/>
  <c r="A19" i="31"/>
  <c r="A27" i="31"/>
  <c r="A7" i="31"/>
  <c r="A24" i="31"/>
  <c r="A10" i="11"/>
  <c r="A67" i="14"/>
  <c r="A48" i="14"/>
  <c r="A31" i="14"/>
  <c r="D3" i="32" l="1"/>
  <c r="A31" i="12" a="1"/>
  <c r="A31" i="12" l="1"/>
  <c r="B5" i="2" l="1" a="1"/>
  <c r="B5" i="2" s="1"/>
  <c r="A20" i="11" a="1"/>
  <c r="A27" i="9" a="1"/>
  <c r="A20" i="11" l="1"/>
  <c r="A27" i="9"/>
  <c r="D50" i="29" l="1"/>
  <c r="F48" i="29"/>
  <c r="O45" i="29"/>
  <c r="N45" i="29"/>
  <c r="M45" i="29"/>
  <c r="L45" i="29"/>
  <c r="K45" i="29"/>
  <c r="J45" i="29"/>
  <c r="I45" i="29"/>
  <c r="H45" i="29"/>
  <c r="G45" i="29"/>
  <c r="F45" i="29"/>
  <c r="D44" i="29"/>
  <c r="D43" i="29"/>
  <c r="D36" i="29"/>
  <c r="D31" i="29"/>
  <c r="D23" i="29"/>
  <c r="T2" i="29"/>
  <c r="U2" i="29" s="1"/>
  <c r="V2" i="29" s="1"/>
  <c r="W2" i="29" s="1"/>
  <c r="X2" i="29" s="1"/>
  <c r="Y2" i="29" s="1"/>
  <c r="Z2" i="29" s="1"/>
  <c r="AA2" i="29" s="1"/>
  <c r="A2" i="29"/>
  <c r="D19" i="28"/>
  <c r="T2" i="28"/>
  <c r="U2" i="28" s="1"/>
  <c r="V2" i="28" s="1"/>
  <c r="W2" i="28" s="1"/>
  <c r="X2" i="28" s="1"/>
  <c r="Y2" i="28" s="1"/>
  <c r="Z2" i="28" s="1"/>
  <c r="AA2" i="28" s="1"/>
  <c r="A2" i="28"/>
  <c r="A2" i="27"/>
  <c r="O36" i="15"/>
  <c r="N36" i="15"/>
  <c r="M36" i="15"/>
  <c r="L36" i="15"/>
  <c r="K36" i="15"/>
  <c r="J36" i="15"/>
  <c r="I36" i="15"/>
  <c r="H36" i="15"/>
  <c r="G36" i="15"/>
  <c r="F36" i="15"/>
  <c r="F23" i="15"/>
  <c r="G23" i="15"/>
  <c r="H23" i="15"/>
  <c r="I23" i="15"/>
  <c r="J23" i="15"/>
  <c r="K23" i="15"/>
  <c r="L23" i="15"/>
  <c r="M23" i="15"/>
  <c r="N23" i="15"/>
  <c r="O23" i="15"/>
  <c r="O12" i="26"/>
  <c r="N12" i="26"/>
  <c r="M12" i="26"/>
  <c r="L12" i="26"/>
  <c r="K12" i="26"/>
  <c r="J12" i="26"/>
  <c r="I12" i="26"/>
  <c r="H12" i="26"/>
  <c r="G12" i="26"/>
  <c r="O18" i="26"/>
  <c r="N18" i="26"/>
  <c r="M18" i="26"/>
  <c r="L18" i="26"/>
  <c r="K18" i="26"/>
  <c r="J18" i="26"/>
  <c r="I18" i="26"/>
  <c r="H18" i="26"/>
  <c r="G18" i="26"/>
  <c r="F18" i="26"/>
  <c r="F12" i="26"/>
  <c r="T2" i="26"/>
  <c r="U2" i="26" s="1"/>
  <c r="V2" i="26" s="1"/>
  <c r="W2" i="26" s="1"/>
  <c r="X2" i="26" s="1"/>
  <c r="Y2" i="26" s="1"/>
  <c r="Z2" i="26" s="1"/>
  <c r="AA2" i="26" s="1"/>
  <c r="A2" i="26"/>
  <c r="T2" i="25"/>
  <c r="U2" i="25" s="1"/>
  <c r="V2" i="25" s="1"/>
  <c r="W2" i="25" s="1"/>
  <c r="X2" i="25" s="1"/>
  <c r="Y2" i="25" s="1"/>
  <c r="Z2" i="25" s="1"/>
  <c r="AA2" i="25" s="1"/>
  <c r="A2" i="25"/>
  <c r="D10" i="24"/>
  <c r="D9" i="24"/>
  <c r="D8" i="24"/>
  <c r="D7" i="24"/>
  <c r="D6" i="24"/>
  <c r="O5" i="24"/>
  <c r="O148" i="6" s="1"/>
  <c r="N5" i="24"/>
  <c r="M5" i="24"/>
  <c r="L5" i="24"/>
  <c r="K5" i="24"/>
  <c r="J5" i="24"/>
  <c r="I5" i="24"/>
  <c r="H5" i="24"/>
  <c r="H148" i="6" s="1"/>
  <c r="G5" i="24"/>
  <c r="G148" i="6" s="1"/>
  <c r="F5" i="24"/>
  <c r="G3" i="24"/>
  <c r="H3" i="24" s="1"/>
  <c r="I3" i="24" s="1"/>
  <c r="J3" i="24" s="1"/>
  <c r="K3" i="24" s="1"/>
  <c r="L3" i="24" s="1"/>
  <c r="M3" i="24" s="1"/>
  <c r="N3" i="24" s="1"/>
  <c r="O3" i="24" s="1"/>
  <c r="T3" i="24" s="1"/>
  <c r="U3" i="24" s="1"/>
  <c r="V3" i="24" s="1"/>
  <c r="W3" i="24" s="1"/>
  <c r="X3" i="24" s="1"/>
  <c r="Y3" i="24" s="1"/>
  <c r="Z3" i="24" s="1"/>
  <c r="AA3" i="24" s="1"/>
  <c r="T2" i="24"/>
  <c r="U2" i="24" s="1"/>
  <c r="V2" i="24" s="1"/>
  <c r="W2" i="24" s="1"/>
  <c r="X2" i="24" s="1"/>
  <c r="Y2" i="24" s="1"/>
  <c r="Z2" i="24" s="1"/>
  <c r="AA2" i="24" s="1"/>
  <c r="A2" i="24"/>
  <c r="D10" i="23"/>
  <c r="D9" i="23"/>
  <c r="D8" i="23"/>
  <c r="D7" i="23"/>
  <c r="D6" i="23"/>
  <c r="O5" i="23"/>
  <c r="N5" i="23"/>
  <c r="M5" i="23"/>
  <c r="L5" i="23"/>
  <c r="K5" i="23"/>
  <c r="J5" i="23"/>
  <c r="I5" i="23"/>
  <c r="H5" i="23"/>
  <c r="G5" i="23"/>
  <c r="F5" i="23"/>
  <c r="T2" i="23"/>
  <c r="U2" i="23" s="1"/>
  <c r="V2" i="23" s="1"/>
  <c r="W2" i="23" s="1"/>
  <c r="X2" i="23" s="1"/>
  <c r="Y2" i="23" s="1"/>
  <c r="Z2" i="23" s="1"/>
  <c r="AA2" i="23" s="1"/>
  <c r="A2" i="23"/>
  <c r="T2" i="22"/>
  <c r="U2" i="22" s="1"/>
  <c r="V2" i="22" s="1"/>
  <c r="W2" i="22" s="1"/>
  <c r="X2" i="22" s="1"/>
  <c r="Y2" i="22" s="1"/>
  <c r="Z2" i="22" s="1"/>
  <c r="AA2" i="22" s="1"/>
  <c r="A2" i="22"/>
  <c r="D24" i="21"/>
  <c r="D23" i="21"/>
  <c r="D22" i="21"/>
  <c r="D17" i="21"/>
  <c r="D16" i="21"/>
  <c r="D15" i="21"/>
  <c r="D10" i="21"/>
  <c r="D9" i="21"/>
  <c r="D8" i="21"/>
  <c r="D6" i="21"/>
  <c r="O19" i="20"/>
  <c r="N19" i="20"/>
  <c r="M19" i="20"/>
  <c r="L19" i="20"/>
  <c r="K19" i="20"/>
  <c r="J19" i="20"/>
  <c r="I19" i="20"/>
  <c r="H19" i="20"/>
  <c r="G19" i="20"/>
  <c r="F19" i="20"/>
  <c r="F15" i="22" s="1"/>
  <c r="D24" i="20"/>
  <c r="D23" i="20"/>
  <c r="D22" i="20"/>
  <c r="D21" i="20"/>
  <c r="D17" i="20"/>
  <c r="D16" i="20"/>
  <c r="D15" i="20"/>
  <c r="O5" i="20"/>
  <c r="N5" i="20"/>
  <c r="M5" i="20"/>
  <c r="L5" i="20"/>
  <c r="K5" i="20"/>
  <c r="J5" i="20"/>
  <c r="J18" i="10" s="1"/>
  <c r="I5" i="20"/>
  <c r="H5" i="20"/>
  <c r="G5" i="20"/>
  <c r="F5" i="20"/>
  <c r="D10" i="20"/>
  <c r="D9" i="20"/>
  <c r="D8" i="20"/>
  <c r="D7" i="20"/>
  <c r="D6" i="20"/>
  <c r="T2" i="21"/>
  <c r="U2" i="21" s="1"/>
  <c r="V2" i="21" s="1"/>
  <c r="W2" i="21" s="1"/>
  <c r="X2" i="21" s="1"/>
  <c r="Y2" i="21" s="1"/>
  <c r="Z2" i="21" s="1"/>
  <c r="AA2" i="21" s="1"/>
  <c r="A2" i="21"/>
  <c r="T2" i="20"/>
  <c r="U2" i="20" s="1"/>
  <c r="V2" i="20" s="1"/>
  <c r="W2" i="20" s="1"/>
  <c r="X2" i="20" s="1"/>
  <c r="Y2" i="20" s="1"/>
  <c r="Z2" i="20" s="1"/>
  <c r="AA2" i="20" s="1"/>
  <c r="A2" i="20"/>
  <c r="O41" i="19"/>
  <c r="N41" i="19"/>
  <c r="M41" i="19"/>
  <c r="L41" i="19"/>
  <c r="K41" i="19"/>
  <c r="J41" i="19"/>
  <c r="I41" i="19"/>
  <c r="H41" i="19"/>
  <c r="G41" i="19"/>
  <c r="F42" i="19"/>
  <c r="F41" i="19"/>
  <c r="O36" i="19"/>
  <c r="N36" i="19"/>
  <c r="M36" i="19"/>
  <c r="L36" i="19"/>
  <c r="K36" i="19"/>
  <c r="J36" i="19"/>
  <c r="I36" i="19"/>
  <c r="H36" i="19"/>
  <c r="G36" i="19"/>
  <c r="F37" i="19"/>
  <c r="F36" i="19"/>
  <c r="O32" i="19"/>
  <c r="N32" i="19"/>
  <c r="M32" i="19"/>
  <c r="L32" i="19"/>
  <c r="K32" i="19"/>
  <c r="J32" i="19"/>
  <c r="I32" i="19"/>
  <c r="H32" i="19"/>
  <c r="G32" i="19"/>
  <c r="G95" i="13"/>
  <c r="G93" i="13"/>
  <c r="G25" i="19" s="1"/>
  <c r="F32" i="19"/>
  <c r="F33" i="19"/>
  <c r="O20" i="19"/>
  <c r="N20" i="19"/>
  <c r="M20" i="19"/>
  <c r="L20" i="19"/>
  <c r="K20" i="19"/>
  <c r="J20" i="19"/>
  <c r="I20" i="19"/>
  <c r="H20" i="19"/>
  <c r="G20" i="19"/>
  <c r="F21" i="19"/>
  <c r="F20" i="19"/>
  <c r="F25" i="19"/>
  <c r="G92" i="13"/>
  <c r="G21" i="19" s="1"/>
  <c r="A25" i="29" a="1"/>
  <c r="A20" i="19" a="1"/>
  <c r="A33" i="19" a="1"/>
  <c r="A25" i="19" a="1"/>
  <c r="A13" i="22" a="1"/>
  <c r="A6" i="22" a="1"/>
  <c r="A24" i="29" a="1"/>
  <c r="A10" i="25" a="1"/>
  <c r="A36" i="15" a="1"/>
  <c r="A12" i="22" a="1"/>
  <c r="A16" i="29" a="1"/>
  <c r="A21" i="11" a="1"/>
  <c r="A42" i="19" a="1"/>
  <c r="A8" i="28" a="1"/>
  <c r="A11" i="22" a="1"/>
  <c r="A48" i="29" a="1"/>
  <c r="A9" i="28" a="1"/>
  <c r="A35" i="29" a="1"/>
  <c r="A15" i="28" a="1"/>
  <c r="A16" i="28" a="1"/>
  <c r="A25" i="10" a="1"/>
  <c r="A23" i="25" a="1"/>
  <c r="A10" i="28" a="1"/>
  <c r="A20" i="28" a="1"/>
  <c r="A22" i="28" a="1"/>
  <c r="A28" i="28" a="1"/>
  <c r="A17" i="29" a="1"/>
  <c r="A41" i="19" a="1"/>
  <c r="A18" i="29" a="1"/>
  <c r="A16" i="11" a="1"/>
  <c r="A42" i="29" a="1"/>
  <c r="A20" i="29" a="1"/>
  <c r="A21" i="19" a="1"/>
  <c r="A21" i="29" a="1"/>
  <c r="B31" i="2" a="1"/>
  <c r="A39" i="28" a="1"/>
  <c r="A9" i="11" a="1"/>
  <c r="A32" i="19" a="1"/>
  <c r="A24" i="28" a="1"/>
  <c r="A11" i="28" a="1"/>
  <c r="A22" i="10" a="1"/>
  <c r="A8" i="29" a="1"/>
  <c r="A13" i="29" a="1"/>
  <c r="A5" i="28" a="1"/>
  <c r="A7" i="28" a="1"/>
  <c r="A21" i="10" a="1"/>
  <c r="A23" i="15" a="1"/>
  <c r="A21" i="28" a="1"/>
  <c r="A12" i="26" a="1"/>
  <c r="A18" i="10" a="1"/>
  <c r="A12" i="15" a="1"/>
  <c r="A9" i="29" a="1"/>
  <c r="A22" i="29" a="1"/>
  <c r="A36" i="19" a="1"/>
  <c r="A45" i="29" a="1"/>
  <c r="A32" i="29" a="1"/>
  <c r="A12" i="29" a="1"/>
  <c r="A15" i="10" a="1"/>
  <c r="A11" i="11" a="1"/>
  <c r="A15" i="29" a="1"/>
  <c r="A37" i="19" a="1"/>
  <c r="A14" i="29" a="1"/>
  <c r="K130" i="6" l="1"/>
  <c r="K18" i="10"/>
  <c r="L130" i="6"/>
  <c r="L18" i="10"/>
  <c r="N130" i="6"/>
  <c r="N18" i="10"/>
  <c r="M130" i="6"/>
  <c r="M18" i="10"/>
  <c r="H130" i="6"/>
  <c r="H18" i="10"/>
  <c r="F130" i="6"/>
  <c r="F18" i="10"/>
  <c r="F16" i="11"/>
  <c r="I130" i="6"/>
  <c r="I18" i="10"/>
  <c r="F148" i="6"/>
  <c r="F22" i="11"/>
  <c r="F25" i="10"/>
  <c r="G130" i="6"/>
  <c r="G18" i="10"/>
  <c r="O130" i="6"/>
  <c r="O18" i="10"/>
  <c r="K25" i="10"/>
  <c r="K150" i="6" s="1"/>
  <c r="K148" i="6"/>
  <c r="G9" i="29"/>
  <c r="G171" i="6"/>
  <c r="G143" i="6"/>
  <c r="H171" i="6"/>
  <c r="H143" i="6"/>
  <c r="N22" i="11"/>
  <c r="N149" i="6" s="1"/>
  <c r="N148" i="6"/>
  <c r="J16" i="28"/>
  <c r="J130" i="6"/>
  <c r="F171" i="6"/>
  <c r="F143" i="6"/>
  <c r="M22" i="11"/>
  <c r="M149" i="6" s="1"/>
  <c r="M148" i="6"/>
  <c r="I143" i="6"/>
  <c r="I171" i="6"/>
  <c r="J171" i="6"/>
  <c r="J143" i="6"/>
  <c r="K171" i="6"/>
  <c r="K143" i="6"/>
  <c r="K24" i="29"/>
  <c r="L25" i="10"/>
  <c r="L150" i="6" s="1"/>
  <c r="L148" i="6"/>
  <c r="L21" i="11"/>
  <c r="L171" i="6"/>
  <c r="L143" i="6"/>
  <c r="M143" i="6"/>
  <c r="M171" i="6"/>
  <c r="N171" i="6"/>
  <c r="N143" i="6"/>
  <c r="O143" i="6"/>
  <c r="O171" i="6"/>
  <c r="I22" i="28"/>
  <c r="I148" i="6"/>
  <c r="J25" i="10"/>
  <c r="J150" i="6" s="1"/>
  <c r="J148" i="6"/>
  <c r="L24" i="29"/>
  <c r="K22" i="28"/>
  <c r="L22" i="28"/>
  <c r="K22" i="11"/>
  <c r="K149" i="6" s="1"/>
  <c r="L22" i="11"/>
  <c r="L149" i="6" s="1"/>
  <c r="I21" i="28"/>
  <c r="I105" i="47"/>
  <c r="I128" i="47"/>
  <c r="O24" i="29"/>
  <c r="O106" i="47"/>
  <c r="O143" i="47"/>
  <c r="J9" i="29"/>
  <c r="J105" i="47"/>
  <c r="J128" i="47"/>
  <c r="H16" i="28"/>
  <c r="H100" i="47"/>
  <c r="G12" i="20"/>
  <c r="L9" i="29"/>
  <c r="L105" i="47"/>
  <c r="L128" i="47"/>
  <c r="F22" i="28"/>
  <c r="F106" i="47"/>
  <c r="F143" i="47"/>
  <c r="F150" i="6"/>
  <c r="M25" i="10"/>
  <c r="M150" i="6" s="1"/>
  <c r="N22" i="28"/>
  <c r="I16" i="11"/>
  <c r="I131" i="6" s="1"/>
  <c r="I100" i="47"/>
  <c r="M21" i="28"/>
  <c r="M105" i="47"/>
  <c r="M128" i="47"/>
  <c r="G22" i="28"/>
  <c r="G106" i="47"/>
  <c r="G143" i="47"/>
  <c r="N25" i="10"/>
  <c r="N150" i="6" s="1"/>
  <c r="K9" i="10"/>
  <c r="K105" i="47"/>
  <c r="K128" i="47"/>
  <c r="N21" i="11"/>
  <c r="N105" i="47"/>
  <c r="N128" i="47"/>
  <c r="H24" i="29"/>
  <c r="H106" i="47"/>
  <c r="H143" i="47"/>
  <c r="K16" i="11"/>
  <c r="K131" i="6" s="1"/>
  <c r="K100" i="47"/>
  <c r="O21" i="28"/>
  <c r="O105" i="47"/>
  <c r="O128" i="47"/>
  <c r="I24" i="29"/>
  <c r="I106" i="47"/>
  <c r="I143" i="47"/>
  <c r="J22" i="28"/>
  <c r="J106" i="47"/>
  <c r="J143" i="47"/>
  <c r="L16" i="11"/>
  <c r="L131" i="6" s="1"/>
  <c r="L100" i="47"/>
  <c r="M16" i="11"/>
  <c r="M131" i="6" s="1"/>
  <c r="M100" i="47"/>
  <c r="K106" i="47"/>
  <c r="K143" i="47"/>
  <c r="N16" i="28"/>
  <c r="N100" i="47"/>
  <c r="F21" i="11"/>
  <c r="F105" i="47"/>
  <c r="F128" i="47"/>
  <c r="L106" i="47"/>
  <c r="L143" i="47"/>
  <c r="N9" i="29"/>
  <c r="F131" i="6"/>
  <c r="F100" i="47"/>
  <c r="G16" i="11"/>
  <c r="G131" i="6" s="1"/>
  <c r="G100" i="47"/>
  <c r="O16" i="28"/>
  <c r="O100" i="47"/>
  <c r="G21" i="11"/>
  <c r="G105" i="47"/>
  <c r="G128" i="47"/>
  <c r="M22" i="28"/>
  <c r="M106" i="47"/>
  <c r="M143" i="47"/>
  <c r="J16" i="11"/>
  <c r="J131" i="6" s="1"/>
  <c r="J100" i="47"/>
  <c r="H21" i="11"/>
  <c r="H105" i="47"/>
  <c r="H128" i="47"/>
  <c r="N24" i="29"/>
  <c r="N106" i="47"/>
  <c r="N143" i="47"/>
  <c r="G9" i="10"/>
  <c r="H22" i="28"/>
  <c r="G15" i="22"/>
  <c r="I15" i="22"/>
  <c r="L15" i="22"/>
  <c r="M15" i="22"/>
  <c r="J15" i="22"/>
  <c r="N15" i="22"/>
  <c r="K15" i="22"/>
  <c r="O15" i="22"/>
  <c r="H15" i="22"/>
  <c r="G19" i="19"/>
  <c r="G53" i="19" s="1"/>
  <c r="G3" i="28"/>
  <c r="H3" i="28" s="1"/>
  <c r="I3" i="28" s="1"/>
  <c r="J3" i="28" s="1"/>
  <c r="K3" i="28" s="1"/>
  <c r="L3" i="28" s="1"/>
  <c r="M3" i="28" s="1"/>
  <c r="N3" i="28" s="1"/>
  <c r="O3" i="28" s="1"/>
  <c r="T3" i="28" s="1"/>
  <c r="U3" i="28" s="1"/>
  <c r="V3" i="28" s="1"/>
  <c r="W3" i="28" s="1"/>
  <c r="X3" i="28" s="1"/>
  <c r="Y3" i="28" s="1"/>
  <c r="Z3" i="28" s="1"/>
  <c r="AA3" i="28" s="1"/>
  <c r="G3" i="26"/>
  <c r="H3" i="26" s="1"/>
  <c r="I3" i="26" s="1"/>
  <c r="J3" i="26" s="1"/>
  <c r="K3" i="26" s="1"/>
  <c r="L3" i="26" s="1"/>
  <c r="M3" i="26" s="1"/>
  <c r="N3" i="26" s="1"/>
  <c r="O3" i="26" s="1"/>
  <c r="D3" i="26" s="1"/>
  <c r="G3" i="25"/>
  <c r="H3" i="25" s="1"/>
  <c r="I3" i="25" s="1"/>
  <c r="J3" i="25" s="1"/>
  <c r="K3" i="25" s="1"/>
  <c r="L3" i="25" s="1"/>
  <c r="M3" i="25" s="1"/>
  <c r="N3" i="25" s="1"/>
  <c r="O3" i="25" s="1"/>
  <c r="T3" i="25" s="1"/>
  <c r="U3" i="25" s="1"/>
  <c r="V3" i="25" s="1"/>
  <c r="W3" i="25" s="1"/>
  <c r="X3" i="25" s="1"/>
  <c r="Y3" i="25" s="1"/>
  <c r="Z3" i="25" s="1"/>
  <c r="AA3" i="25" s="1"/>
  <c r="G3" i="22"/>
  <c r="H3" i="22" s="1"/>
  <c r="I3" i="22" s="1"/>
  <c r="J3" i="22" s="1"/>
  <c r="K3" i="22" s="1"/>
  <c r="L3" i="22" s="1"/>
  <c r="M3" i="22" s="1"/>
  <c r="N3" i="22" s="1"/>
  <c r="O3" i="22" s="1"/>
  <c r="T3" i="22" s="1"/>
  <c r="U3" i="22" s="1"/>
  <c r="V3" i="22" s="1"/>
  <c r="W3" i="22" s="1"/>
  <c r="X3" i="22" s="1"/>
  <c r="Y3" i="22" s="1"/>
  <c r="Z3" i="22" s="1"/>
  <c r="AA3" i="22" s="1"/>
  <c r="M24" i="29"/>
  <c r="D3" i="24"/>
  <c r="F149" i="6"/>
  <c r="G22" i="11"/>
  <c r="G149" i="6" s="1"/>
  <c r="F24" i="29"/>
  <c r="H22" i="11"/>
  <c r="H149" i="6" s="1"/>
  <c r="G25" i="10"/>
  <c r="G150" i="6" s="1"/>
  <c r="I22" i="11"/>
  <c r="I149" i="6" s="1"/>
  <c r="H25" i="10"/>
  <c r="H150" i="6" s="1"/>
  <c r="O22" i="28"/>
  <c r="G24" i="29"/>
  <c r="J22" i="11"/>
  <c r="J149" i="6" s="1"/>
  <c r="I25" i="10"/>
  <c r="I150" i="6" s="1"/>
  <c r="J24" i="29"/>
  <c r="O22" i="11"/>
  <c r="O149" i="6" s="1"/>
  <c r="O25" i="10"/>
  <c r="O150" i="6" s="1"/>
  <c r="K21" i="11"/>
  <c r="N9" i="10"/>
  <c r="M9" i="10"/>
  <c r="L9" i="10"/>
  <c r="I9" i="10"/>
  <c r="H9" i="29"/>
  <c r="G3" i="23"/>
  <c r="H3" i="23" s="1"/>
  <c r="I3" i="23" s="1"/>
  <c r="J3" i="23" s="1"/>
  <c r="K3" i="23" s="1"/>
  <c r="L3" i="23" s="1"/>
  <c r="M3" i="23" s="1"/>
  <c r="N3" i="23" s="1"/>
  <c r="O3" i="23" s="1"/>
  <c r="D3" i="23" s="1"/>
  <c r="H9" i="10"/>
  <c r="M9" i="29"/>
  <c r="O9" i="29"/>
  <c r="O21" i="11"/>
  <c r="M21" i="11"/>
  <c r="J9" i="10"/>
  <c r="H21" i="28"/>
  <c r="F9" i="29"/>
  <c r="K21" i="28"/>
  <c r="I9" i="29"/>
  <c r="O9" i="10"/>
  <c r="J21" i="28"/>
  <c r="J21" i="11"/>
  <c r="I21" i="11"/>
  <c r="F9" i="10"/>
  <c r="L21" i="28"/>
  <c r="K9" i="29"/>
  <c r="N21" i="28"/>
  <c r="D5" i="23"/>
  <c r="F21" i="28"/>
  <c r="G21" i="28"/>
  <c r="H16" i="11"/>
  <c r="H131" i="6" s="1"/>
  <c r="I16" i="28"/>
  <c r="H12" i="20"/>
  <c r="K16" i="28"/>
  <c r="N16" i="11"/>
  <c r="N131" i="6" s="1"/>
  <c r="L16" i="28"/>
  <c r="O16" i="11"/>
  <c r="O131" i="6" s="1"/>
  <c r="M16" i="28"/>
  <c r="I12" i="20"/>
  <c r="I134" i="6" s="1"/>
  <c r="F16" i="28"/>
  <c r="G16" i="28"/>
  <c r="A39" i="28"/>
  <c r="A28" i="28"/>
  <c r="A15" i="10"/>
  <c r="A9" i="11"/>
  <c r="A15" i="28"/>
  <c r="A9" i="28"/>
  <c r="A22" i="29"/>
  <c r="A21" i="10"/>
  <c r="A21" i="29"/>
  <c r="D45" i="29"/>
  <c r="A22" i="10"/>
  <c r="A24" i="28"/>
  <c r="A22" i="28"/>
  <c r="A18" i="29"/>
  <c r="A45" i="29"/>
  <c r="A32" i="29"/>
  <c r="A13" i="29"/>
  <c r="A20" i="29"/>
  <c r="A35" i="29"/>
  <c r="A48" i="29"/>
  <c r="A12" i="29"/>
  <c r="A14" i="29"/>
  <c r="A25" i="29"/>
  <c r="A15" i="29"/>
  <c r="A8" i="29"/>
  <c r="A24" i="29"/>
  <c r="A16" i="29"/>
  <c r="A42" i="29"/>
  <c r="A9" i="29"/>
  <c r="A17" i="29"/>
  <c r="G3" i="29"/>
  <c r="H3" i="29" s="1"/>
  <c r="I3" i="29" s="1"/>
  <c r="J3" i="29" s="1"/>
  <c r="K3" i="29" s="1"/>
  <c r="L3" i="29" s="1"/>
  <c r="M3" i="29" s="1"/>
  <c r="N3" i="29" s="1"/>
  <c r="O3" i="29" s="1"/>
  <c r="T3" i="29" s="1"/>
  <c r="U3" i="29" s="1"/>
  <c r="V3" i="29" s="1"/>
  <c r="W3" i="29" s="1"/>
  <c r="X3" i="29" s="1"/>
  <c r="Y3" i="29" s="1"/>
  <c r="Z3" i="29" s="1"/>
  <c r="AA3" i="29" s="1"/>
  <c r="A16" i="28"/>
  <c r="A10" i="28"/>
  <c r="A11" i="28"/>
  <c r="A5" i="28"/>
  <c r="A20" i="28"/>
  <c r="A7" i="28"/>
  <c r="A21" i="28"/>
  <c r="A8" i="28"/>
  <c r="A36" i="15"/>
  <c r="A23" i="15"/>
  <c r="A12" i="15"/>
  <c r="A12" i="26"/>
  <c r="G33" i="19"/>
  <c r="G31" i="19" s="1"/>
  <c r="G56" i="19" s="1"/>
  <c r="I93" i="13"/>
  <c r="J93" i="13" s="1"/>
  <c r="K93" i="13" s="1"/>
  <c r="L93" i="13" s="1"/>
  <c r="M93" i="13" s="1"/>
  <c r="N93" i="13" s="1"/>
  <c r="O93" i="13" s="1"/>
  <c r="P93" i="13" s="1"/>
  <c r="I95" i="13"/>
  <c r="H33" i="19"/>
  <c r="H31" i="19" s="1"/>
  <c r="H56" i="19" s="1"/>
  <c r="T3" i="26"/>
  <c r="U3" i="26" s="1"/>
  <c r="V3" i="26" s="1"/>
  <c r="W3" i="26" s="1"/>
  <c r="X3" i="26" s="1"/>
  <c r="Y3" i="26" s="1"/>
  <c r="Z3" i="26" s="1"/>
  <c r="AA3" i="26" s="1"/>
  <c r="A23" i="25"/>
  <c r="A10" i="25"/>
  <c r="A6" i="22"/>
  <c r="B31" i="2"/>
  <c r="A25" i="10"/>
  <c r="A21" i="11"/>
  <c r="D5" i="24"/>
  <c r="T3" i="23"/>
  <c r="U3" i="23" s="1"/>
  <c r="V3" i="23" s="1"/>
  <c r="W3" i="23" s="1"/>
  <c r="X3" i="23" s="1"/>
  <c r="Y3" i="23" s="1"/>
  <c r="Z3" i="23" s="1"/>
  <c r="AA3" i="23" s="1"/>
  <c r="A13" i="22"/>
  <c r="A12" i="22"/>
  <c r="J12" i="20"/>
  <c r="D5" i="20"/>
  <c r="K12" i="20"/>
  <c r="A11" i="22"/>
  <c r="A11" i="11"/>
  <c r="A18" i="10"/>
  <c r="A16" i="11"/>
  <c r="D20" i="21"/>
  <c r="D13" i="21"/>
  <c r="D19" i="20"/>
  <c r="D20" i="20"/>
  <c r="L12" i="20"/>
  <c r="D14" i="20"/>
  <c r="M12" i="20"/>
  <c r="N12" i="20"/>
  <c r="O12" i="20"/>
  <c r="F12" i="20"/>
  <c r="D13" i="20"/>
  <c r="G3" i="21"/>
  <c r="H3" i="21" s="1"/>
  <c r="I3" i="21" s="1"/>
  <c r="J3" i="21" s="1"/>
  <c r="K3" i="21" s="1"/>
  <c r="L3" i="21" s="1"/>
  <c r="M3" i="21" s="1"/>
  <c r="N3" i="21" s="1"/>
  <c r="O3" i="21" s="1"/>
  <c r="T3" i="21" s="1"/>
  <c r="U3" i="21" s="1"/>
  <c r="V3" i="21" s="1"/>
  <c r="W3" i="21" s="1"/>
  <c r="X3" i="21" s="1"/>
  <c r="Y3" i="21" s="1"/>
  <c r="Z3" i="21" s="1"/>
  <c r="AA3" i="21" s="1"/>
  <c r="G3" i="20"/>
  <c r="H3" i="20" s="1"/>
  <c r="I3" i="20" s="1"/>
  <c r="J3" i="20" s="1"/>
  <c r="K3" i="20" s="1"/>
  <c r="L3" i="20" s="1"/>
  <c r="M3" i="20" s="1"/>
  <c r="N3" i="20" s="1"/>
  <c r="O3" i="20" s="1"/>
  <c r="T3" i="20" s="1"/>
  <c r="U3" i="20" s="1"/>
  <c r="V3" i="20" s="1"/>
  <c r="W3" i="20" s="1"/>
  <c r="X3" i="20" s="1"/>
  <c r="Y3" i="20" s="1"/>
  <c r="Z3" i="20" s="1"/>
  <c r="AA3" i="20" s="1"/>
  <c r="A42" i="19"/>
  <c r="F40" i="19"/>
  <c r="A41" i="19"/>
  <c r="F35" i="19"/>
  <c r="F57" i="19" s="1"/>
  <c r="A37" i="19"/>
  <c r="A36" i="19"/>
  <c r="A32" i="19"/>
  <c r="F31" i="19"/>
  <c r="F56" i="19" s="1"/>
  <c r="A33" i="19"/>
  <c r="F19" i="19"/>
  <c r="F53" i="19" s="1"/>
  <c r="A21" i="19"/>
  <c r="A20" i="19"/>
  <c r="A25" i="19"/>
  <c r="D130" i="6" l="1"/>
  <c r="D148" i="6"/>
  <c r="J144" i="6"/>
  <c r="J172" i="6"/>
  <c r="I144" i="6"/>
  <c r="I172" i="6"/>
  <c r="G144" i="6"/>
  <c r="G172" i="6"/>
  <c r="F144" i="6"/>
  <c r="F172" i="6"/>
  <c r="N144" i="6"/>
  <c r="N172" i="6"/>
  <c r="K144" i="6"/>
  <c r="K172" i="6"/>
  <c r="H144" i="6"/>
  <c r="H172" i="6"/>
  <c r="M144" i="6"/>
  <c r="M172" i="6"/>
  <c r="L144" i="6"/>
  <c r="L172" i="6"/>
  <c r="D143" i="6"/>
  <c r="O144" i="6"/>
  <c r="O172" i="6"/>
  <c r="D171" i="6"/>
  <c r="N173" i="6"/>
  <c r="N145" i="6"/>
  <c r="J173" i="6"/>
  <c r="J145" i="6"/>
  <c r="K173" i="6"/>
  <c r="K145" i="6"/>
  <c r="F173" i="6"/>
  <c r="F145" i="6"/>
  <c r="D150" i="6"/>
  <c r="H173" i="6"/>
  <c r="H145" i="6"/>
  <c r="G173" i="6"/>
  <c r="G145" i="6"/>
  <c r="O173" i="6"/>
  <c r="O145" i="6"/>
  <c r="I173" i="6"/>
  <c r="I145" i="6"/>
  <c r="L173" i="6"/>
  <c r="L145" i="6"/>
  <c r="M173" i="6"/>
  <c r="M145" i="6"/>
  <c r="O137" i="47"/>
  <c r="O134" i="6"/>
  <c r="G137" i="47"/>
  <c r="G134" i="6"/>
  <c r="N137" i="47"/>
  <c r="N134" i="6"/>
  <c r="M137" i="47"/>
  <c r="M134" i="6"/>
  <c r="L137" i="47"/>
  <c r="L134" i="6"/>
  <c r="H137" i="47"/>
  <c r="H134" i="6"/>
  <c r="K137" i="47"/>
  <c r="K134" i="6"/>
  <c r="J137" i="47"/>
  <c r="J134" i="6"/>
  <c r="F137" i="47"/>
  <c r="F134" i="6"/>
  <c r="D149" i="6"/>
  <c r="D131" i="6"/>
  <c r="G18" i="29"/>
  <c r="D22" i="28"/>
  <c r="D128" i="47"/>
  <c r="D105" i="47"/>
  <c r="D143" i="47"/>
  <c r="D106" i="47"/>
  <c r="D100" i="47"/>
  <c r="G135" i="6"/>
  <c r="I18" i="29"/>
  <c r="I137" i="47"/>
  <c r="I135" i="6"/>
  <c r="L18" i="29"/>
  <c r="H135" i="6"/>
  <c r="F135" i="6"/>
  <c r="D15" i="22"/>
  <c r="D3" i="20"/>
  <c r="D3" i="25"/>
  <c r="D3" i="29"/>
  <c r="D9" i="29"/>
  <c r="D3" i="28"/>
  <c r="D3" i="22"/>
  <c r="D24" i="29"/>
  <c r="D21" i="28"/>
  <c r="H18" i="29"/>
  <c r="D16" i="28"/>
  <c r="D3" i="21"/>
  <c r="J135" i="6"/>
  <c r="J18" i="29"/>
  <c r="O135" i="6"/>
  <c r="O18" i="29"/>
  <c r="K135" i="6"/>
  <c r="K18" i="29"/>
  <c r="F18" i="29"/>
  <c r="N135" i="6"/>
  <c r="N18" i="29"/>
  <c r="M135" i="6"/>
  <c r="M18" i="29"/>
  <c r="K25" i="19"/>
  <c r="J25" i="19"/>
  <c r="M25" i="19"/>
  <c r="I25" i="19"/>
  <c r="N25" i="19"/>
  <c r="L25" i="19"/>
  <c r="H25" i="19"/>
  <c r="O25" i="19"/>
  <c r="J95" i="13"/>
  <c r="I33" i="19"/>
  <c r="I31" i="19" s="1"/>
  <c r="I56" i="19" s="1"/>
  <c r="D12" i="20"/>
  <c r="L135" i="6"/>
  <c r="D172" i="6" l="1"/>
  <c r="D144" i="6"/>
  <c r="D134" i="6"/>
  <c r="D145" i="6"/>
  <c r="D173" i="6"/>
  <c r="D135" i="6"/>
  <c r="D137" i="47"/>
  <c r="D18" i="29"/>
  <c r="K95" i="13"/>
  <c r="J33" i="19"/>
  <c r="J31" i="19" s="1"/>
  <c r="J56" i="19" s="1"/>
  <c r="L95" i="13" l="1"/>
  <c r="K33" i="19"/>
  <c r="K31" i="19" s="1"/>
  <c r="K56" i="19" s="1"/>
  <c r="M95" i="13" l="1"/>
  <c r="L33" i="19"/>
  <c r="L31" i="19" s="1"/>
  <c r="L56" i="19" s="1"/>
  <c r="N95" i="13" l="1"/>
  <c r="M33" i="19"/>
  <c r="M31" i="19" s="1"/>
  <c r="M56" i="19" s="1"/>
  <c r="O95" i="13" l="1"/>
  <c r="N33" i="19"/>
  <c r="N31" i="19" s="1"/>
  <c r="N56" i="19" s="1"/>
  <c r="P95" i="13" l="1"/>
  <c r="O33" i="19"/>
  <c r="O31" i="19" s="1"/>
  <c r="O56" i="19" s="1"/>
  <c r="D56" i="19" s="1"/>
  <c r="O16" i="19" l="1"/>
  <c r="N16" i="19"/>
  <c r="M16" i="19"/>
  <c r="L16" i="19"/>
  <c r="K16" i="19"/>
  <c r="J16" i="19"/>
  <c r="I16" i="19"/>
  <c r="H16" i="19"/>
  <c r="G16" i="19"/>
  <c r="F17" i="19"/>
  <c r="F16" i="19"/>
  <c r="D41" i="19"/>
  <c r="D36" i="19"/>
  <c r="D31" i="19"/>
  <c r="D32" i="19"/>
  <c r="D20" i="19"/>
  <c r="F12" i="19"/>
  <c r="F13" i="19"/>
  <c r="G12" i="19"/>
  <c r="H12" i="19"/>
  <c r="I12" i="19"/>
  <c r="J12" i="19"/>
  <c r="K12" i="19"/>
  <c r="L12" i="19"/>
  <c r="M12" i="19"/>
  <c r="N12" i="19"/>
  <c r="O12" i="19"/>
  <c r="W2" i="19"/>
  <c r="X2" i="19" s="1"/>
  <c r="Y2" i="19" s="1"/>
  <c r="Z2" i="19" s="1"/>
  <c r="AA2" i="19" s="1"/>
  <c r="AB2" i="19" s="1"/>
  <c r="AC2" i="19" s="1"/>
  <c r="AD2" i="19" s="1"/>
  <c r="A2" i="19"/>
  <c r="H23" i="18"/>
  <c r="H7" i="18" s="1"/>
  <c r="D24" i="18"/>
  <c r="G7" i="18"/>
  <c r="F7" i="18"/>
  <c r="F7" i="11" s="1"/>
  <c r="D15" i="18"/>
  <c r="H14" i="18"/>
  <c r="V2" i="18"/>
  <c r="W2" i="18" s="1"/>
  <c r="X2" i="18" s="1"/>
  <c r="Y2" i="18" s="1"/>
  <c r="Z2" i="18" s="1"/>
  <c r="AA2" i="18" s="1"/>
  <c r="AB2" i="18" s="1"/>
  <c r="AC2" i="18" s="1"/>
  <c r="A2" i="18"/>
  <c r="G60" i="7"/>
  <c r="F60" i="7"/>
  <c r="F62" i="7" s="1"/>
  <c r="P60" i="7"/>
  <c r="O60" i="7"/>
  <c r="O62" i="7" s="1"/>
  <c r="N60" i="7"/>
  <c r="N62" i="7" s="1"/>
  <c r="M60" i="7"/>
  <c r="M62" i="7" s="1"/>
  <c r="L60" i="7"/>
  <c r="L62" i="7" s="1"/>
  <c r="K60" i="7"/>
  <c r="K62" i="7" s="1"/>
  <c r="J60" i="7"/>
  <c r="J62" i="7" s="1"/>
  <c r="I60" i="7"/>
  <c r="I62" i="7" s="1"/>
  <c r="H60" i="7"/>
  <c r="H62" i="7" s="1"/>
  <c r="A7" i="11" a="1"/>
  <c r="A14" i="10" a="1"/>
  <c r="A13" i="19" a="1"/>
  <c r="A17" i="19" a="1"/>
  <c r="A16" i="19" a="1"/>
  <c r="A12" i="19" a="1"/>
  <c r="B24" i="2" a="1"/>
  <c r="B26" i="2" a="1"/>
  <c r="A8" i="11" a="1"/>
  <c r="G62" i="7" l="1"/>
  <c r="D60" i="7"/>
  <c r="D62" i="7" s="1"/>
  <c r="I14" i="18"/>
  <c r="P62" i="7"/>
  <c r="F91" i="47"/>
  <c r="F8" i="18"/>
  <c r="F12" i="22" s="1"/>
  <c r="F101" i="6"/>
  <c r="G91" i="47"/>
  <c r="G8" i="18"/>
  <c r="G101" i="6"/>
  <c r="H91" i="47"/>
  <c r="H8" i="18"/>
  <c r="H101" i="6"/>
  <c r="H24" i="19"/>
  <c r="H23" i="19" s="1"/>
  <c r="H54" i="19" s="1"/>
  <c r="K24" i="19"/>
  <c r="K23" i="19" s="1"/>
  <c r="K54" i="19" s="1"/>
  <c r="N24" i="19"/>
  <c r="N23" i="19" s="1"/>
  <c r="N54" i="19" s="1"/>
  <c r="L24" i="19"/>
  <c r="L23" i="19" s="1"/>
  <c r="L54" i="19" s="1"/>
  <c r="O24" i="19"/>
  <c r="O23" i="19" s="1"/>
  <c r="O54" i="19" s="1"/>
  <c r="J24" i="19"/>
  <c r="M24" i="19"/>
  <c r="M23" i="19" s="1"/>
  <c r="M54" i="19" s="1"/>
  <c r="F24" i="19"/>
  <c r="F23" i="19" s="1"/>
  <c r="F54" i="19" s="1"/>
  <c r="I24" i="19"/>
  <c r="I23" i="19" s="1"/>
  <c r="I54" i="19" s="1"/>
  <c r="G24" i="19"/>
  <c r="G23" i="19" s="1"/>
  <c r="G54" i="19" s="1"/>
  <c r="G3" i="19"/>
  <c r="H3" i="19" s="1"/>
  <c r="I3" i="19" s="1"/>
  <c r="J3" i="19" s="1"/>
  <c r="K3" i="19" s="1"/>
  <c r="L3" i="19" s="1"/>
  <c r="M3" i="19" s="1"/>
  <c r="N3" i="19" s="1"/>
  <c r="O3" i="19" s="1"/>
  <c r="D3" i="19" s="1"/>
  <c r="F7" i="28"/>
  <c r="H7" i="11"/>
  <c r="H7" i="28"/>
  <c r="G7" i="28"/>
  <c r="B26" i="2"/>
  <c r="A7" i="11"/>
  <c r="A8" i="11"/>
  <c r="F15" i="19"/>
  <c r="F52" i="19" s="1"/>
  <c r="D16" i="19"/>
  <c r="A16" i="19"/>
  <c r="A17" i="19"/>
  <c r="A12" i="19"/>
  <c r="A13" i="19"/>
  <c r="D12" i="19"/>
  <c r="F11" i="19"/>
  <c r="B24" i="2"/>
  <c r="W3" i="19"/>
  <c r="X3" i="19" s="1"/>
  <c r="Y3" i="19" s="1"/>
  <c r="Z3" i="19" s="1"/>
  <c r="AA3" i="19" s="1"/>
  <c r="AB3" i="19" s="1"/>
  <c r="AC3" i="19" s="1"/>
  <c r="AD3" i="19" s="1"/>
  <c r="A14" i="10"/>
  <c r="J23" i="18"/>
  <c r="G7" i="11"/>
  <c r="I23" i="18"/>
  <c r="I7" i="18" s="1"/>
  <c r="G3" i="18"/>
  <c r="H3" i="18" s="1"/>
  <c r="I3" i="18" s="1"/>
  <c r="J3" i="18" s="1"/>
  <c r="K3" i="18" s="1"/>
  <c r="L3" i="18" s="1"/>
  <c r="M3" i="18" s="1"/>
  <c r="N3" i="18" s="1"/>
  <c r="O3" i="18" s="1"/>
  <c r="V3" i="18" s="1"/>
  <c r="W3" i="18" s="1"/>
  <c r="X3" i="18" s="1"/>
  <c r="Y3" i="18" s="1"/>
  <c r="Z3" i="18" s="1"/>
  <c r="AA3" i="18" s="1"/>
  <c r="AB3" i="18" s="1"/>
  <c r="AC3" i="18" s="1"/>
  <c r="F51" i="19" l="1"/>
  <c r="F50" i="19" s="1"/>
  <c r="F5" i="19"/>
  <c r="I91" i="47"/>
  <c r="I8" i="18"/>
  <c r="I101" i="6"/>
  <c r="F54" i="11"/>
  <c r="F102" i="6"/>
  <c r="H54" i="11"/>
  <c r="H102" i="6"/>
  <c r="G54" i="11"/>
  <c r="G102" i="6"/>
  <c r="D3" i="18"/>
  <c r="H12" i="22"/>
  <c r="G12" i="22"/>
  <c r="D24" i="19"/>
  <c r="J23" i="19"/>
  <c r="F9" i="18"/>
  <c r="F12" i="10" s="1"/>
  <c r="G9" i="18"/>
  <c r="I7" i="11"/>
  <c r="I7" i="28"/>
  <c r="M14" i="18"/>
  <c r="L14" i="18"/>
  <c r="J14" i="18"/>
  <c r="J7" i="18" s="1"/>
  <c r="K14" i="18"/>
  <c r="N14" i="18"/>
  <c r="K23" i="18"/>
  <c r="H9" i="18"/>
  <c r="H131" i="47" l="1"/>
  <c r="H105" i="6"/>
  <c r="G131" i="47"/>
  <c r="G105" i="6"/>
  <c r="F131" i="47"/>
  <c r="F105" i="6"/>
  <c r="J91" i="47"/>
  <c r="J8" i="18"/>
  <c r="J101" i="6"/>
  <c r="F92" i="47"/>
  <c r="F6" i="19"/>
  <c r="F109" i="6"/>
  <c r="I54" i="11"/>
  <c r="I102" i="6"/>
  <c r="D23" i="19"/>
  <c r="J54" i="19"/>
  <c r="D54" i="19" s="1"/>
  <c r="G12" i="10"/>
  <c r="G12" i="29"/>
  <c r="F12" i="29"/>
  <c r="I12" i="22"/>
  <c r="J7" i="11"/>
  <c r="J7" i="28"/>
  <c r="F8" i="11"/>
  <c r="F8" i="28"/>
  <c r="H12" i="10"/>
  <c r="H12" i="29"/>
  <c r="I9" i="18"/>
  <c r="O14" i="18"/>
  <c r="L23" i="18"/>
  <c r="K7" i="18"/>
  <c r="K91" i="47" l="1"/>
  <c r="K8" i="18"/>
  <c r="K101" i="6"/>
  <c r="I131" i="47"/>
  <c r="I105" i="6"/>
  <c r="F106" i="6"/>
  <c r="G106" i="6"/>
  <c r="H106" i="6"/>
  <c r="J54" i="11"/>
  <c r="J102" i="6"/>
  <c r="F55" i="11"/>
  <c r="F110" i="6"/>
  <c r="J12" i="22"/>
  <c r="F13" i="22"/>
  <c r="K7" i="11"/>
  <c r="K7" i="28"/>
  <c r="I12" i="10"/>
  <c r="I12" i="29"/>
  <c r="D14" i="18"/>
  <c r="F7" i="19"/>
  <c r="L7" i="18"/>
  <c r="M23" i="18"/>
  <c r="J9" i="18"/>
  <c r="L91" i="47" l="1"/>
  <c r="L8" i="18"/>
  <c r="L101" i="6"/>
  <c r="J131" i="47"/>
  <c r="J105" i="6"/>
  <c r="I106" i="6"/>
  <c r="F132" i="47"/>
  <c r="F113" i="6"/>
  <c r="K54" i="11"/>
  <c r="K102" i="6"/>
  <c r="F13" i="10"/>
  <c r="L7" i="11"/>
  <c r="L7" i="28"/>
  <c r="J12" i="10"/>
  <c r="J12" i="29"/>
  <c r="F13" i="29"/>
  <c r="N23" i="18"/>
  <c r="M7" i="18"/>
  <c r="M91" i="47" l="1"/>
  <c r="M8" i="18"/>
  <c r="M101" i="6"/>
  <c r="J106" i="6"/>
  <c r="F114" i="6"/>
  <c r="L54" i="11"/>
  <c r="L102" i="6"/>
  <c r="L12" i="22"/>
  <c r="K12" i="22"/>
  <c r="M7" i="11"/>
  <c r="M7" i="28"/>
  <c r="L9" i="18"/>
  <c r="K9" i="18"/>
  <c r="N7" i="18"/>
  <c r="O23" i="18"/>
  <c r="N91" i="47" l="1"/>
  <c r="N8" i="18"/>
  <c r="N101" i="6"/>
  <c r="K131" i="47"/>
  <c r="K105" i="6"/>
  <c r="L131" i="47"/>
  <c r="L105" i="6"/>
  <c r="M54" i="11"/>
  <c r="M102" i="6"/>
  <c r="M12" i="22"/>
  <c r="N7" i="11"/>
  <c r="N7" i="28"/>
  <c r="K12" i="10"/>
  <c r="K12" i="29"/>
  <c r="L12" i="10"/>
  <c r="L12" i="29"/>
  <c r="M9" i="18"/>
  <c r="D23" i="18"/>
  <c r="O7" i="18"/>
  <c r="M131" i="47" l="1"/>
  <c r="M105" i="6"/>
  <c r="O91" i="47"/>
  <c r="D91" i="47" s="1"/>
  <c r="O8" i="18"/>
  <c r="O101" i="6"/>
  <c r="D101" i="6" s="1"/>
  <c r="L106" i="6"/>
  <c r="K106" i="6"/>
  <c r="N54" i="11"/>
  <c r="N102" i="6"/>
  <c r="N12" i="22"/>
  <c r="O7" i="11"/>
  <c r="O7" i="28"/>
  <c r="M12" i="10"/>
  <c r="M12" i="29"/>
  <c r="N9" i="18"/>
  <c r="N131" i="47" l="1"/>
  <c r="N105" i="6"/>
  <c r="M106" i="6"/>
  <c r="O54" i="11"/>
  <c r="O102" i="6"/>
  <c r="D102" i="6" s="1"/>
  <c r="O12" i="22"/>
  <c r="D7" i="28"/>
  <c r="D54" i="11"/>
  <c r="D7" i="11"/>
  <c r="N12" i="10"/>
  <c r="N12" i="29"/>
  <c r="O9" i="18"/>
  <c r="O131" i="47" l="1"/>
  <c r="D131" i="47" s="1"/>
  <c r="O105" i="6"/>
  <c r="D105" i="6" s="1"/>
  <c r="N106" i="6"/>
  <c r="O12" i="10"/>
  <c r="O12" i="29"/>
  <c r="D7" i="18"/>
  <c r="O106" i="6" l="1"/>
  <c r="D106" i="6" s="1"/>
  <c r="D12" i="22"/>
  <c r="D8" i="18"/>
  <c r="D12" i="29" l="1"/>
  <c r="D9" i="18"/>
  <c r="D12" i="10" l="1"/>
  <c r="D39" i="7" l="1"/>
  <c r="D10" i="17"/>
  <c r="D9" i="17"/>
  <c r="D8" i="17"/>
  <c r="O7" i="17"/>
  <c r="O188" i="6" s="1"/>
  <c r="N7" i="17"/>
  <c r="N188" i="6" s="1"/>
  <c r="L188" i="6"/>
  <c r="K188" i="6"/>
  <c r="J188" i="6"/>
  <c r="I188" i="6"/>
  <c r="H188" i="6"/>
  <c r="G188" i="6"/>
  <c r="F7" i="17"/>
  <c r="A24" i="9" a="1"/>
  <c r="F188" i="6" l="1"/>
  <c r="L43" i="10"/>
  <c r="L189" i="6" s="1"/>
  <c r="M43" i="10"/>
  <c r="M189" i="6" s="1"/>
  <c r="M188" i="6"/>
  <c r="G161" i="47"/>
  <c r="G160" i="47" s="1"/>
  <c r="D35" i="41"/>
  <c r="G43" i="10"/>
  <c r="G189" i="6" s="1"/>
  <c r="F43" i="10"/>
  <c r="F189" i="6" s="1"/>
  <c r="F161" i="47"/>
  <c r="H161" i="47"/>
  <c r="H160" i="47" s="1"/>
  <c r="E35" i="41"/>
  <c r="N43" i="10"/>
  <c r="N189" i="6" s="1"/>
  <c r="N161" i="47"/>
  <c r="N160" i="47" s="1"/>
  <c r="K35" i="41"/>
  <c r="H43" i="10"/>
  <c r="H189" i="6" s="1"/>
  <c r="K161" i="47"/>
  <c r="K160" i="47" s="1"/>
  <c r="H35" i="41"/>
  <c r="L161" i="47"/>
  <c r="L160" i="47" s="1"/>
  <c r="I35" i="41"/>
  <c r="O43" i="10"/>
  <c r="O189" i="6" s="1"/>
  <c r="O161" i="47"/>
  <c r="O160" i="47" s="1"/>
  <c r="L35" i="41"/>
  <c r="I161" i="47"/>
  <c r="I160" i="47" s="1"/>
  <c r="F35" i="41"/>
  <c r="J161" i="47"/>
  <c r="J160" i="47" s="1"/>
  <c r="G35" i="41"/>
  <c r="M161" i="47"/>
  <c r="M160" i="47" s="1"/>
  <c r="J35" i="41"/>
  <c r="F12" i="17"/>
  <c r="F24" i="31" s="1"/>
  <c r="C35" i="41"/>
  <c r="G42" i="29"/>
  <c r="G41" i="29" s="1"/>
  <c r="J42" i="29"/>
  <c r="J41" i="29" s="1"/>
  <c r="H42" i="29"/>
  <c r="H41" i="29" s="1"/>
  <c r="K42" i="29"/>
  <c r="K41" i="29" s="1"/>
  <c r="L42" i="29"/>
  <c r="L41" i="29" s="1"/>
  <c r="K43" i="10"/>
  <c r="K189" i="6" s="1"/>
  <c r="N42" i="29"/>
  <c r="N41" i="29" s="1"/>
  <c r="J43" i="10"/>
  <c r="J189" i="6" s="1"/>
  <c r="F42" i="29"/>
  <c r="I42" i="29"/>
  <c r="I41" i="29" s="1"/>
  <c r="M42" i="29"/>
  <c r="M41" i="29" s="1"/>
  <c r="O42" i="29"/>
  <c r="O41" i="29" s="1"/>
  <c r="I43" i="10"/>
  <c r="I189" i="6" s="1"/>
  <c r="A24" i="9"/>
  <c r="D7" i="17"/>
  <c r="C56" i="1" s="1"/>
  <c r="O46" i="10"/>
  <c r="O193" i="6" s="1"/>
  <c r="N46" i="10"/>
  <c r="N193" i="6" s="1"/>
  <c r="M46" i="10"/>
  <c r="M193" i="6" s="1"/>
  <c r="L46" i="10"/>
  <c r="L193" i="6" s="1"/>
  <c r="K46" i="10"/>
  <c r="K193" i="6" s="1"/>
  <c r="J46" i="10"/>
  <c r="J193" i="6" s="1"/>
  <c r="I46" i="10"/>
  <c r="I193" i="6" s="1"/>
  <c r="H46" i="10"/>
  <c r="H193" i="6" s="1"/>
  <c r="G46" i="10"/>
  <c r="G193" i="6" s="1"/>
  <c r="F46" i="10"/>
  <c r="F193" i="6" s="1"/>
  <c r="F61" i="17"/>
  <c r="G58" i="17" s="1"/>
  <c r="D60" i="17"/>
  <c r="D59" i="17"/>
  <c r="F52" i="17"/>
  <c r="F53" i="17" s="1"/>
  <c r="D51" i="17"/>
  <c r="D50" i="17"/>
  <c r="F43" i="17"/>
  <c r="G40" i="17" s="1"/>
  <c r="D42" i="17"/>
  <c r="D41" i="17"/>
  <c r="F34" i="17"/>
  <c r="F35" i="17" s="1"/>
  <c r="D32" i="17"/>
  <c r="F8" i="15"/>
  <c r="G8" i="15"/>
  <c r="H8" i="15"/>
  <c r="G9" i="15"/>
  <c r="H9" i="15"/>
  <c r="I9" i="15"/>
  <c r="J8" i="15"/>
  <c r="H91" i="7"/>
  <c r="G91" i="7"/>
  <c r="F91" i="7"/>
  <c r="A8" i="15" a="1"/>
  <c r="A16" i="10" a="1"/>
  <c r="A9" i="15" a="1"/>
  <c r="A26" i="10" a="1"/>
  <c r="A5" i="11" a="1"/>
  <c r="H95" i="7" l="1"/>
  <c r="E87" i="41" s="1"/>
  <c r="E112" i="41" s="1"/>
  <c r="G95" i="7"/>
  <c r="D188" i="6"/>
  <c r="D189" i="6"/>
  <c r="D193" i="6"/>
  <c r="F183" i="47"/>
  <c r="I101" i="41"/>
  <c r="L184" i="47"/>
  <c r="I36" i="41"/>
  <c r="O184" i="47"/>
  <c r="L101" i="41"/>
  <c r="L36" i="41"/>
  <c r="F185" i="47"/>
  <c r="C102" i="41"/>
  <c r="C5" i="51"/>
  <c r="K101" i="41"/>
  <c r="N184" i="47"/>
  <c r="K36" i="41"/>
  <c r="F24" i="9"/>
  <c r="D161" i="47"/>
  <c r="D160" i="47" s="1"/>
  <c r="F160" i="47"/>
  <c r="E101" i="41"/>
  <c r="H184" i="47"/>
  <c r="E36" i="41"/>
  <c r="F101" i="41"/>
  <c r="I184" i="47"/>
  <c r="F36" i="41"/>
  <c r="G12" i="17"/>
  <c r="G24" i="31" s="1"/>
  <c r="J101" i="41"/>
  <c r="M184" i="47"/>
  <c r="J36" i="41"/>
  <c r="J184" i="47"/>
  <c r="G101" i="41"/>
  <c r="G36" i="41"/>
  <c r="H101" i="41"/>
  <c r="K184" i="47"/>
  <c r="H36" i="41"/>
  <c r="M35" i="41"/>
  <c r="C13" i="41" s="1"/>
  <c r="C12" i="41" s="1"/>
  <c r="F18" i="15"/>
  <c r="F17" i="15"/>
  <c r="F41" i="29"/>
  <c r="D42" i="29"/>
  <c r="D41" i="29" s="1"/>
  <c r="I8" i="15"/>
  <c r="I91" i="7"/>
  <c r="I95" i="7" s="1"/>
  <c r="F87" i="41" s="1"/>
  <c r="F112" i="41" s="1"/>
  <c r="A16" i="10"/>
  <c r="A26" i="10"/>
  <c r="D46" i="10"/>
  <c r="G31" i="17"/>
  <c r="G33" i="17" s="1"/>
  <c r="F24" i="17"/>
  <c r="G49" i="17"/>
  <c r="G52" i="17" s="1"/>
  <c r="H49" i="17" s="1"/>
  <c r="H52" i="17" s="1"/>
  <c r="I49" i="17" s="1"/>
  <c r="G61" i="17"/>
  <c r="H58" i="17" s="1"/>
  <c r="F62" i="17"/>
  <c r="F54" i="17"/>
  <c r="D22" i="17"/>
  <c r="C57" i="1" s="1"/>
  <c r="F44" i="17"/>
  <c r="F45" i="17" s="1"/>
  <c r="G43" i="17"/>
  <c r="H40" i="17" s="1"/>
  <c r="F36" i="17"/>
  <c r="A5" i="11"/>
  <c r="A9" i="15"/>
  <c r="A8" i="15"/>
  <c r="K8" i="15"/>
  <c r="V2" i="17"/>
  <c r="W2" i="17" s="1"/>
  <c r="X2" i="17" s="1"/>
  <c r="Y2" i="17" s="1"/>
  <c r="Z2" i="17" s="1"/>
  <c r="AA2" i="17" s="1"/>
  <c r="AB2" i="17" s="1"/>
  <c r="AC2" i="17" s="1"/>
  <c r="A2" i="17"/>
  <c r="H39" i="16"/>
  <c r="H57" i="16" s="1"/>
  <c r="G39" i="16"/>
  <c r="G57" i="16" s="1"/>
  <c r="F39" i="16"/>
  <c r="F57" i="16" s="1"/>
  <c r="I33" i="16"/>
  <c r="I56" i="16" s="1"/>
  <c r="H33" i="16"/>
  <c r="H56" i="16" s="1"/>
  <c r="G33" i="16"/>
  <c r="G56" i="16" s="1"/>
  <c r="F33" i="16"/>
  <c r="F56" i="16" s="1"/>
  <c r="H27" i="16"/>
  <c r="G27" i="16"/>
  <c r="F27" i="16"/>
  <c r="H21" i="16"/>
  <c r="G21" i="16"/>
  <c r="F21" i="16"/>
  <c r="J18" i="16"/>
  <c r="K18" i="16" s="1"/>
  <c r="L18" i="16" s="1"/>
  <c r="M18" i="16" s="1"/>
  <c r="N18" i="16" s="1"/>
  <c r="O18" i="16" s="1"/>
  <c r="I15" i="16"/>
  <c r="H15" i="16"/>
  <c r="G15" i="16"/>
  <c r="F15" i="16"/>
  <c r="F53" i="16" s="1"/>
  <c r="V2" i="16"/>
  <c r="W2" i="16" s="1"/>
  <c r="X2" i="16" s="1"/>
  <c r="Y2" i="16" s="1"/>
  <c r="Z2" i="16" s="1"/>
  <c r="AA2" i="16" s="1"/>
  <c r="AB2" i="16" s="1"/>
  <c r="AC2" i="16" s="1"/>
  <c r="A2" i="16"/>
  <c r="H7" i="15"/>
  <c r="G7" i="15"/>
  <c r="F7" i="15"/>
  <c r="V2" i="15"/>
  <c r="W2" i="15" s="1"/>
  <c r="X2" i="15" s="1"/>
  <c r="Y2" i="15" s="1"/>
  <c r="Z2" i="15" s="1"/>
  <c r="AA2" i="15" s="1"/>
  <c r="AB2" i="15" s="1"/>
  <c r="AC2" i="15" s="1"/>
  <c r="A2" i="15"/>
  <c r="O148" i="14"/>
  <c r="N148" i="14"/>
  <c r="M148" i="14"/>
  <c r="L148" i="14"/>
  <c r="K148" i="14"/>
  <c r="J148" i="14"/>
  <c r="I148" i="14"/>
  <c r="H148" i="14"/>
  <c r="G148" i="14"/>
  <c r="G149" i="14" s="1"/>
  <c r="F148" i="14"/>
  <c r="F149" i="14" s="1"/>
  <c r="O139" i="14"/>
  <c r="N139" i="14"/>
  <c r="M139" i="14"/>
  <c r="L139" i="14"/>
  <c r="K139" i="14"/>
  <c r="J139" i="14"/>
  <c r="I139" i="14"/>
  <c r="H139" i="14"/>
  <c r="G139" i="14"/>
  <c r="F139" i="14"/>
  <c r="O130" i="14"/>
  <c r="N130" i="14"/>
  <c r="M130" i="14"/>
  <c r="L130" i="14"/>
  <c r="K130" i="14"/>
  <c r="J130" i="14"/>
  <c r="I130" i="14"/>
  <c r="H130" i="14"/>
  <c r="G130" i="14"/>
  <c r="F130" i="14"/>
  <c r="O121" i="14"/>
  <c r="N121" i="14"/>
  <c r="M121" i="14"/>
  <c r="L121" i="14"/>
  <c r="K121" i="14"/>
  <c r="J121" i="14"/>
  <c r="I121" i="14"/>
  <c r="H121" i="14"/>
  <c r="G121" i="14"/>
  <c r="F121" i="14"/>
  <c r="F122" i="14" s="1"/>
  <c r="O112" i="14"/>
  <c r="N112" i="14"/>
  <c r="M112" i="14"/>
  <c r="L112" i="14"/>
  <c r="K112" i="14"/>
  <c r="J112" i="14"/>
  <c r="I112" i="14"/>
  <c r="H112" i="14"/>
  <c r="G112" i="14"/>
  <c r="F112" i="14"/>
  <c r="F113" i="14" s="1"/>
  <c r="O103" i="14"/>
  <c r="N103" i="14"/>
  <c r="M103" i="14"/>
  <c r="L103" i="14"/>
  <c r="K103" i="14"/>
  <c r="J103" i="14"/>
  <c r="I103" i="14"/>
  <c r="H103" i="14"/>
  <c r="G103" i="14"/>
  <c r="F103" i="14"/>
  <c r="O94" i="14"/>
  <c r="N94" i="14"/>
  <c r="M94" i="14"/>
  <c r="L94" i="14"/>
  <c r="K94" i="14"/>
  <c r="J94" i="14"/>
  <c r="I94" i="14"/>
  <c r="H94" i="14"/>
  <c r="G94" i="14"/>
  <c r="F94" i="14"/>
  <c r="O85" i="14"/>
  <c r="N85" i="14"/>
  <c r="M85" i="14"/>
  <c r="L85" i="14"/>
  <c r="K85" i="14"/>
  <c r="J85" i="14"/>
  <c r="I85" i="14"/>
  <c r="H85" i="14"/>
  <c r="G85" i="14"/>
  <c r="F85" i="14"/>
  <c r="O76" i="14"/>
  <c r="N76" i="14"/>
  <c r="M76" i="14"/>
  <c r="L76" i="14"/>
  <c r="K76" i="14"/>
  <c r="J76" i="14"/>
  <c r="I76" i="14"/>
  <c r="H76" i="14"/>
  <c r="G76" i="14"/>
  <c r="F76" i="14"/>
  <c r="O58" i="14"/>
  <c r="N58" i="14"/>
  <c r="M58" i="14"/>
  <c r="M59" i="14" s="1"/>
  <c r="L58" i="14"/>
  <c r="K58" i="14"/>
  <c r="J58" i="14"/>
  <c r="I58" i="14"/>
  <c r="H58" i="14"/>
  <c r="G58" i="14"/>
  <c r="F58" i="14"/>
  <c r="O39" i="14"/>
  <c r="N39" i="14"/>
  <c r="M39" i="14"/>
  <c r="L39" i="14"/>
  <c r="K39" i="14"/>
  <c r="J39" i="14"/>
  <c r="I39" i="14"/>
  <c r="H39" i="14"/>
  <c r="G39" i="14"/>
  <c r="F39" i="14"/>
  <c r="F22" i="14"/>
  <c r="O22" i="14"/>
  <c r="N22" i="14"/>
  <c r="M22" i="14"/>
  <c r="L22" i="14"/>
  <c r="K22" i="14"/>
  <c r="K23" i="14" s="1"/>
  <c r="J22" i="14"/>
  <c r="J23" i="14" s="1"/>
  <c r="I22" i="14"/>
  <c r="I23" i="14" s="1"/>
  <c r="H22" i="14"/>
  <c r="G22" i="14"/>
  <c r="G23" i="14" s="1"/>
  <c r="P21" i="7"/>
  <c r="O21" i="7"/>
  <c r="N21" i="7"/>
  <c r="M21" i="7"/>
  <c r="L21" i="7"/>
  <c r="K21" i="7"/>
  <c r="J21" i="7"/>
  <c r="I21" i="7"/>
  <c r="H21" i="7"/>
  <c r="F21" i="7"/>
  <c r="D33" i="7"/>
  <c r="D32" i="7"/>
  <c r="D31" i="7"/>
  <c r="D30" i="7"/>
  <c r="D29" i="7"/>
  <c r="D28" i="7"/>
  <c r="D27" i="7"/>
  <c r="D26" i="7"/>
  <c r="D25" i="7"/>
  <c r="D24" i="7"/>
  <c r="D23" i="7"/>
  <c r="D22" i="7"/>
  <c r="G153" i="14"/>
  <c r="H153" i="14" s="1"/>
  <c r="G144" i="14"/>
  <c r="H144" i="14" s="1"/>
  <c r="G135" i="14"/>
  <c r="H135" i="14" s="1"/>
  <c r="G126" i="14"/>
  <c r="H126" i="14" s="1"/>
  <c r="G99" i="14"/>
  <c r="H99" i="14" s="1"/>
  <c r="G90" i="14"/>
  <c r="H90" i="14" s="1"/>
  <c r="H89" i="14" s="1"/>
  <c r="G81" i="14"/>
  <c r="H81" i="14" s="1"/>
  <c r="G63" i="14"/>
  <c r="H63" i="14" s="1"/>
  <c r="G44" i="14"/>
  <c r="G27" i="14"/>
  <c r="H27" i="14" s="1"/>
  <c r="F10" i="28"/>
  <c r="A2" i="14"/>
  <c r="G99" i="13"/>
  <c r="G91" i="13"/>
  <c r="A121" i="14" a="1"/>
  <c r="A94" i="14" a="1"/>
  <c r="A148" i="14" a="1"/>
  <c r="A39" i="14" a="1"/>
  <c r="A85" i="14" a="1"/>
  <c r="A103" i="14" a="1"/>
  <c r="A139" i="14" a="1"/>
  <c r="A112" i="14" a="1"/>
  <c r="A58" i="14" a="1"/>
  <c r="A130" i="14" a="1"/>
  <c r="A76" i="14" a="1"/>
  <c r="H55" i="16" l="1"/>
  <c r="H36" i="18"/>
  <c r="H37" i="18" s="1"/>
  <c r="H38" i="18" s="1"/>
  <c r="G55" i="16"/>
  <c r="G36" i="18"/>
  <c r="G37" i="18" s="1"/>
  <c r="G38" i="18" s="1"/>
  <c r="F55" i="16"/>
  <c r="F36" i="18"/>
  <c r="D87" i="41"/>
  <c r="G94" i="7"/>
  <c r="H44" i="14"/>
  <c r="G24" i="9"/>
  <c r="F25" i="17"/>
  <c r="F138" i="6" s="1"/>
  <c r="F25" i="29"/>
  <c r="F186" i="47"/>
  <c r="G183" i="47" s="1"/>
  <c r="E30" i="51"/>
  <c r="F93" i="6"/>
  <c r="G40" i="14"/>
  <c r="G41" i="14" s="1"/>
  <c r="G49" i="14" s="1"/>
  <c r="I59" i="14"/>
  <c r="I60" i="14" s="1"/>
  <c r="I68" i="14" s="1"/>
  <c r="K77" i="14"/>
  <c r="K78" i="14" s="1"/>
  <c r="M86" i="14"/>
  <c r="M87" i="14" s="1"/>
  <c r="O95" i="14"/>
  <c r="O96" i="14" s="1"/>
  <c r="G113" i="14"/>
  <c r="G114" i="14" s="1"/>
  <c r="I122" i="14"/>
  <c r="I123" i="14" s="1"/>
  <c r="K131" i="14"/>
  <c r="K132" i="14" s="1"/>
  <c r="M140" i="14"/>
  <c r="M141" i="14" s="1"/>
  <c r="O149" i="14"/>
  <c r="O150" i="14" s="1"/>
  <c r="H23" i="14"/>
  <c r="H24" i="14" s="1"/>
  <c r="I40" i="14"/>
  <c r="K59" i="14"/>
  <c r="K60" i="14" s="1"/>
  <c r="K68" i="14" s="1"/>
  <c r="M77" i="14"/>
  <c r="M78" i="14" s="1"/>
  <c r="O86" i="14"/>
  <c r="O87" i="14" s="1"/>
  <c r="G104" i="14"/>
  <c r="G105" i="14" s="1"/>
  <c r="I113" i="14"/>
  <c r="I114" i="14" s="1"/>
  <c r="K122" i="14"/>
  <c r="K123" i="14" s="1"/>
  <c r="M131" i="14"/>
  <c r="M132" i="14" s="1"/>
  <c r="O140" i="14"/>
  <c r="O141" i="14" s="1"/>
  <c r="N140" i="14"/>
  <c r="N141" i="14" s="1"/>
  <c r="J40" i="14"/>
  <c r="J41" i="14" s="1"/>
  <c r="J49" i="14" s="1"/>
  <c r="L59" i="14"/>
  <c r="L60" i="14" s="1"/>
  <c r="L68" i="14" s="1"/>
  <c r="N77" i="14"/>
  <c r="F95" i="14"/>
  <c r="F96" i="14" s="1"/>
  <c r="F100" i="14" s="1"/>
  <c r="H104" i="14"/>
  <c r="H105" i="14" s="1"/>
  <c r="J113" i="14"/>
  <c r="J114" i="14" s="1"/>
  <c r="L122" i="14"/>
  <c r="L123" i="14" s="1"/>
  <c r="N131" i="14"/>
  <c r="N132" i="14" s="1"/>
  <c r="J59" i="14"/>
  <c r="N86" i="14"/>
  <c r="N87" i="14" s="1"/>
  <c r="H113" i="14"/>
  <c r="H114" i="14" s="1"/>
  <c r="L131" i="14"/>
  <c r="L132" i="14" s="1"/>
  <c r="O77" i="14"/>
  <c r="O78" i="14" s="1"/>
  <c r="G95" i="14"/>
  <c r="G96" i="14" s="1"/>
  <c r="K113" i="14"/>
  <c r="K114" i="14" s="1"/>
  <c r="M122" i="14"/>
  <c r="M123" i="14" s="1"/>
  <c r="O131" i="14"/>
  <c r="O132" i="14" s="1"/>
  <c r="J122" i="14"/>
  <c r="J123" i="14" s="1"/>
  <c r="L40" i="14"/>
  <c r="L41" i="14" s="1"/>
  <c r="L49" i="14" s="1"/>
  <c r="N59" i="14"/>
  <c r="N60" i="14" s="1"/>
  <c r="F86" i="14"/>
  <c r="H95" i="14"/>
  <c r="H96" i="14" s="1"/>
  <c r="J104" i="14"/>
  <c r="J105" i="14" s="1"/>
  <c r="L113" i="14"/>
  <c r="L114" i="14" s="1"/>
  <c r="N122" i="14"/>
  <c r="N123" i="14" s="1"/>
  <c r="F140" i="14"/>
  <c r="F141" i="14" s="1"/>
  <c r="H149" i="14"/>
  <c r="H150" i="14" s="1"/>
  <c r="I104" i="14"/>
  <c r="I105" i="14" s="1"/>
  <c r="O59" i="14"/>
  <c r="O60" i="14" s="1"/>
  <c r="O68" i="14" s="1"/>
  <c r="I95" i="14"/>
  <c r="I96" i="14" s="1"/>
  <c r="K104" i="14"/>
  <c r="K105" i="14" s="1"/>
  <c r="M113" i="14"/>
  <c r="M114" i="14" s="1"/>
  <c r="O122" i="14"/>
  <c r="O123" i="14" s="1"/>
  <c r="G140" i="14"/>
  <c r="G141" i="14" s="1"/>
  <c r="I149" i="14"/>
  <c r="I150" i="14" s="1"/>
  <c r="M23" i="14"/>
  <c r="M24" i="14" s="1"/>
  <c r="M32" i="14" s="1"/>
  <c r="N40" i="14"/>
  <c r="N41" i="14" s="1"/>
  <c r="N49" i="14" s="1"/>
  <c r="F77" i="14"/>
  <c r="F78" i="14" s="1"/>
  <c r="H86" i="14"/>
  <c r="J95" i="14"/>
  <c r="J96" i="14" s="1"/>
  <c r="L104" i="14"/>
  <c r="L105" i="14" s="1"/>
  <c r="N113" i="14"/>
  <c r="N114" i="14" s="1"/>
  <c r="F131" i="14"/>
  <c r="F132" i="14" s="1"/>
  <c r="F136" i="14" s="1"/>
  <c r="H140" i="14"/>
  <c r="H141" i="14" s="1"/>
  <c r="J149" i="14"/>
  <c r="J150" i="14" s="1"/>
  <c r="N23" i="14"/>
  <c r="N24" i="14" s="1"/>
  <c r="N32" i="14" s="1"/>
  <c r="O40" i="14"/>
  <c r="O41" i="14" s="1"/>
  <c r="O49" i="14" s="1"/>
  <c r="G77" i="14"/>
  <c r="G78" i="14" s="1"/>
  <c r="I86" i="14"/>
  <c r="I87" i="14" s="1"/>
  <c r="K95" i="14"/>
  <c r="K96" i="14" s="1"/>
  <c r="M104" i="14"/>
  <c r="M105" i="14" s="1"/>
  <c r="O113" i="14"/>
  <c r="O114" i="14" s="1"/>
  <c r="G131" i="14"/>
  <c r="G132" i="14" s="1"/>
  <c r="I140" i="14"/>
  <c r="I141" i="14" s="1"/>
  <c r="K149" i="14"/>
  <c r="K150" i="14" s="1"/>
  <c r="L77" i="14"/>
  <c r="L78" i="14" s="1"/>
  <c r="F104" i="14"/>
  <c r="G86" i="14"/>
  <c r="G87" i="14" s="1"/>
  <c r="O23" i="14"/>
  <c r="O24" i="14" s="1"/>
  <c r="F59" i="14"/>
  <c r="F60" i="14" s="1"/>
  <c r="H77" i="14"/>
  <c r="H78" i="14" s="1"/>
  <c r="J86" i="14"/>
  <c r="J87" i="14" s="1"/>
  <c r="L95" i="14"/>
  <c r="N104" i="14"/>
  <c r="N105" i="14" s="1"/>
  <c r="H131" i="14"/>
  <c r="H132" i="14" s="1"/>
  <c r="J140" i="14"/>
  <c r="J141" i="14" s="1"/>
  <c r="L149" i="14"/>
  <c r="L150" i="14" s="1"/>
  <c r="K40" i="14"/>
  <c r="K41" i="14" s="1"/>
  <c r="K49" i="14" s="1"/>
  <c r="M40" i="14"/>
  <c r="F23" i="14"/>
  <c r="F24" i="14" s="1"/>
  <c r="G59" i="14"/>
  <c r="G60" i="14" s="1"/>
  <c r="G68" i="14" s="1"/>
  <c r="I77" i="14"/>
  <c r="I78" i="14" s="1"/>
  <c r="K86" i="14"/>
  <c r="K87" i="14" s="1"/>
  <c r="M95" i="14"/>
  <c r="M96" i="14" s="1"/>
  <c r="O104" i="14"/>
  <c r="G122" i="14"/>
  <c r="G123" i="14" s="1"/>
  <c r="I131" i="14"/>
  <c r="I132" i="14" s="1"/>
  <c r="K140" i="14"/>
  <c r="K141" i="14" s="1"/>
  <c r="M149" i="14"/>
  <c r="M150" i="14" s="1"/>
  <c r="H40" i="14"/>
  <c r="H41" i="14" s="1"/>
  <c r="L23" i="14"/>
  <c r="F40" i="14"/>
  <c r="F41" i="14" s="1"/>
  <c r="H59" i="14"/>
  <c r="H60" i="14" s="1"/>
  <c r="H68" i="14" s="1"/>
  <c r="J77" i="14"/>
  <c r="J78" i="14" s="1"/>
  <c r="L86" i="14"/>
  <c r="L87" i="14" s="1"/>
  <c r="N95" i="14"/>
  <c r="N96" i="14" s="1"/>
  <c r="H122" i="14"/>
  <c r="H123" i="14" s="1"/>
  <c r="J131" i="14"/>
  <c r="J132" i="14" s="1"/>
  <c r="L140" i="14"/>
  <c r="L141" i="14" s="1"/>
  <c r="N149" i="14"/>
  <c r="N150" i="14" s="1"/>
  <c r="H12" i="17"/>
  <c r="I12" i="17" s="1"/>
  <c r="G18" i="18"/>
  <c r="G19" i="18" s="1"/>
  <c r="G20" i="18" s="1"/>
  <c r="G53" i="16"/>
  <c r="F27" i="18"/>
  <c r="F28" i="18" s="1"/>
  <c r="F29" i="18" s="1"/>
  <c r="F54" i="16"/>
  <c r="G27" i="18"/>
  <c r="G28" i="18" s="1"/>
  <c r="G29" i="18" s="1"/>
  <c r="G54" i="16"/>
  <c r="H27" i="18"/>
  <c r="H28" i="18" s="1"/>
  <c r="H29" i="18" s="1"/>
  <c r="H54" i="16"/>
  <c r="D184" i="47"/>
  <c r="M101" i="41"/>
  <c r="C91" i="41"/>
  <c r="M36" i="41"/>
  <c r="C15" i="41" s="1"/>
  <c r="C11" i="51"/>
  <c r="C7" i="51" s="1"/>
  <c r="H18" i="18"/>
  <c r="H53" i="16"/>
  <c r="I18" i="18"/>
  <c r="I19" i="18" s="1"/>
  <c r="I53" i="16"/>
  <c r="I7" i="15"/>
  <c r="G3" i="14"/>
  <c r="H3" i="14" s="1"/>
  <c r="I3" i="14" s="1"/>
  <c r="J3" i="14" s="1"/>
  <c r="K3" i="14" s="1"/>
  <c r="L3" i="14" s="1"/>
  <c r="M3" i="14" s="1"/>
  <c r="N3" i="14" s="1"/>
  <c r="O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G3" i="16"/>
  <c r="H3" i="16" s="1"/>
  <c r="I3" i="16" s="1"/>
  <c r="J3" i="16" s="1"/>
  <c r="K3" i="16" s="1"/>
  <c r="L3" i="16" s="1"/>
  <c r="M3" i="16" s="1"/>
  <c r="N3" i="16" s="1"/>
  <c r="O3" i="16" s="1"/>
  <c r="V3" i="16" s="1"/>
  <c r="W3" i="16" s="1"/>
  <c r="X3" i="16" s="1"/>
  <c r="Y3" i="16" s="1"/>
  <c r="Z3" i="16" s="1"/>
  <c r="AA3" i="16" s="1"/>
  <c r="AB3" i="16" s="1"/>
  <c r="AC3" i="16" s="1"/>
  <c r="G3" i="17"/>
  <c r="G3" i="15"/>
  <c r="H3" i="15" s="1"/>
  <c r="I3" i="15" s="1"/>
  <c r="J3" i="15" s="1"/>
  <c r="K3" i="15" s="1"/>
  <c r="L3" i="15" s="1"/>
  <c r="M3" i="15" s="1"/>
  <c r="N3" i="15" s="1"/>
  <c r="O3" i="15" s="1"/>
  <c r="V3" i="15" s="1"/>
  <c r="W3" i="15" s="1"/>
  <c r="X3" i="15" s="1"/>
  <c r="Y3" i="15" s="1"/>
  <c r="Z3" i="15" s="1"/>
  <c r="AA3" i="15" s="1"/>
  <c r="AB3" i="15" s="1"/>
  <c r="AC3" i="15" s="1"/>
  <c r="F47" i="29"/>
  <c r="F52" i="29" s="1"/>
  <c r="G21" i="17"/>
  <c r="F27" i="31"/>
  <c r="F26" i="31" s="1"/>
  <c r="F26" i="15"/>
  <c r="F39" i="15"/>
  <c r="F45" i="15" s="1"/>
  <c r="F40" i="15"/>
  <c r="F46" i="15" s="1"/>
  <c r="F15" i="11" s="1"/>
  <c r="F27" i="15"/>
  <c r="F31" i="15" s="1"/>
  <c r="F15" i="28" s="1"/>
  <c r="G42" i="19"/>
  <c r="G40" i="19" s="1"/>
  <c r="I92" i="13"/>
  <c r="H21" i="19"/>
  <c r="H19" i="19" s="1"/>
  <c r="H53" i="19" s="1"/>
  <c r="J15" i="16"/>
  <c r="F8" i="16"/>
  <c r="F18" i="18"/>
  <c r="F19" i="18" s="1"/>
  <c r="F20" i="18" s="1"/>
  <c r="G17" i="19"/>
  <c r="G15" i="19" s="1"/>
  <c r="G52" i="19" s="1"/>
  <c r="K91" i="7"/>
  <c r="K95" i="7" s="1"/>
  <c r="H87" i="41" s="1"/>
  <c r="H112" i="41" s="1"/>
  <c r="J9" i="15"/>
  <c r="G53" i="17"/>
  <c r="G54" i="17" s="1"/>
  <c r="F63" i="17"/>
  <c r="F26" i="17" s="1"/>
  <c r="H61" i="17"/>
  <c r="I58" i="17" s="1"/>
  <c r="G62" i="17"/>
  <c r="G63" i="17" s="1"/>
  <c r="H53" i="17"/>
  <c r="H54" i="17" s="1"/>
  <c r="I52" i="17"/>
  <c r="J49" i="17" s="1"/>
  <c r="H43" i="17"/>
  <c r="I40" i="17" s="1"/>
  <c r="G44" i="17"/>
  <c r="I21" i="16"/>
  <c r="I27" i="16"/>
  <c r="L8" i="15"/>
  <c r="J91" i="7"/>
  <c r="J95" i="7" s="1"/>
  <c r="G87" i="41" s="1"/>
  <c r="G112" i="41" s="1"/>
  <c r="J7" i="14"/>
  <c r="G46" i="41" s="1"/>
  <c r="I7" i="14"/>
  <c r="F46" i="41" s="1"/>
  <c r="H7" i="14"/>
  <c r="E46" i="41" s="1"/>
  <c r="M7" i="14"/>
  <c r="J46" i="41" s="1"/>
  <c r="N7" i="14"/>
  <c r="K46" i="41" s="1"/>
  <c r="O7" i="14"/>
  <c r="L46" i="41" s="1"/>
  <c r="K7" i="14"/>
  <c r="H46" i="41" s="1"/>
  <c r="J24" i="14"/>
  <c r="I24" i="14"/>
  <c r="D21" i="7"/>
  <c r="D148" i="14"/>
  <c r="D58" i="14"/>
  <c r="J33" i="16"/>
  <c r="J56" i="16" s="1"/>
  <c r="J39" i="16"/>
  <c r="J57" i="16" s="1"/>
  <c r="I39" i="16"/>
  <c r="I57" i="16" s="1"/>
  <c r="G8" i="16"/>
  <c r="H8" i="16"/>
  <c r="F16" i="15"/>
  <c r="L7" i="14"/>
  <c r="I46" i="41" s="1"/>
  <c r="D112" i="14"/>
  <c r="D103" i="14"/>
  <c r="K24" i="14"/>
  <c r="D76" i="14"/>
  <c r="D39" i="14"/>
  <c r="G150" i="14"/>
  <c r="A148" i="14"/>
  <c r="F150" i="14"/>
  <c r="D139" i="14"/>
  <c r="A139" i="14"/>
  <c r="D130" i="14"/>
  <c r="A130" i="14"/>
  <c r="G7" i="14"/>
  <c r="D46" i="41" s="1"/>
  <c r="A121" i="14"/>
  <c r="A112" i="14"/>
  <c r="F114" i="14"/>
  <c r="F118" i="14" s="1"/>
  <c r="A103" i="14"/>
  <c r="D94" i="14"/>
  <c r="A94" i="14"/>
  <c r="D85" i="14"/>
  <c r="A85" i="14"/>
  <c r="A76" i="14"/>
  <c r="A58" i="14"/>
  <c r="A39" i="14"/>
  <c r="D22" i="14"/>
  <c r="G24" i="14"/>
  <c r="G32" i="14" s="1"/>
  <c r="I81" i="14"/>
  <c r="H80" i="14"/>
  <c r="I99" i="14"/>
  <c r="H143" i="14"/>
  <c r="I144" i="14"/>
  <c r="I108" i="14"/>
  <c r="H125" i="14"/>
  <c r="I126" i="14"/>
  <c r="I27" i="14"/>
  <c r="I44" i="14"/>
  <c r="I135" i="14"/>
  <c r="H134" i="14"/>
  <c r="I63" i="14"/>
  <c r="H152" i="14"/>
  <c r="I153" i="14"/>
  <c r="M60" i="14"/>
  <c r="I90" i="14"/>
  <c r="G97" i="13"/>
  <c r="G89" i="13"/>
  <c r="G88" i="13"/>
  <c r="G18" i="15"/>
  <c r="G17" i="15"/>
  <c r="I55" i="16" l="1"/>
  <c r="I36" i="18"/>
  <c r="I37" i="18" s="1"/>
  <c r="I38" i="18" s="1"/>
  <c r="D112" i="41"/>
  <c r="F37" i="18"/>
  <c r="F52" i="16"/>
  <c r="E66" i="41"/>
  <c r="E113" i="41" s="1"/>
  <c r="H9" i="16"/>
  <c r="F93" i="47"/>
  <c r="F9" i="11"/>
  <c r="D66" i="41"/>
  <c r="G9" i="16"/>
  <c r="F9" i="16"/>
  <c r="F11" i="22" s="1"/>
  <c r="C66" i="41"/>
  <c r="C113" i="41" s="1"/>
  <c r="H94" i="7"/>
  <c r="D86" i="41"/>
  <c r="G23" i="17"/>
  <c r="G24" i="17" s="1"/>
  <c r="G167" i="47"/>
  <c r="G48" i="29"/>
  <c r="G34" i="17"/>
  <c r="H19" i="18"/>
  <c r="H20" i="18" s="1"/>
  <c r="E35" i="51"/>
  <c r="F26" i="10"/>
  <c r="H89" i="47"/>
  <c r="H82" i="6"/>
  <c r="F89" i="47"/>
  <c r="F82" i="6"/>
  <c r="G89" i="47"/>
  <c r="G82" i="6"/>
  <c r="H24" i="9"/>
  <c r="H24" i="31"/>
  <c r="F187" i="47"/>
  <c r="F188" i="47" s="1"/>
  <c r="D131" i="14"/>
  <c r="N8" i="14"/>
  <c r="N180" i="6" s="1"/>
  <c r="M8" i="14"/>
  <c r="M32" i="29" s="1"/>
  <c r="M30" i="29" s="1"/>
  <c r="F49" i="14"/>
  <c r="F53" i="14" s="1"/>
  <c r="G53" i="14" s="1"/>
  <c r="F45" i="14"/>
  <c r="G45" i="14" s="1"/>
  <c r="H8" i="14"/>
  <c r="E49" i="41" s="1"/>
  <c r="F32" i="14"/>
  <c r="F36" i="14" s="1"/>
  <c r="G36" i="14" s="1"/>
  <c r="F28" i="14"/>
  <c r="F7" i="26" s="1"/>
  <c r="G6" i="26" s="1"/>
  <c r="O8" i="14"/>
  <c r="L49" i="41" s="1"/>
  <c r="D140" i="14"/>
  <c r="D86" i="14"/>
  <c r="D77" i="14"/>
  <c r="D104" i="14"/>
  <c r="D59" i="14"/>
  <c r="D40" i="14"/>
  <c r="L8" i="14"/>
  <c r="I49" i="41" s="1"/>
  <c r="D95" i="14"/>
  <c r="F68" i="14"/>
  <c r="F72" i="14" s="1"/>
  <c r="G72" i="14" s="1"/>
  <c r="F64" i="14"/>
  <c r="G64" i="14" s="1"/>
  <c r="O32" i="14"/>
  <c r="F82" i="14"/>
  <c r="G82" i="14" s="1"/>
  <c r="H82" i="14" s="1"/>
  <c r="N68" i="14"/>
  <c r="D141" i="14"/>
  <c r="F145" i="14"/>
  <c r="G145" i="14" s="1"/>
  <c r="H145" i="14" s="1"/>
  <c r="H32" i="14"/>
  <c r="H9" i="14"/>
  <c r="H14" i="14" s="1"/>
  <c r="H49" i="14"/>
  <c r="D132" i="14"/>
  <c r="O154" i="47"/>
  <c r="O153" i="47" s="1"/>
  <c r="O184" i="6"/>
  <c r="L24" i="14"/>
  <c r="O105" i="14"/>
  <c r="O9" i="14" s="1"/>
  <c r="M41" i="14"/>
  <c r="M49" i="14" s="1"/>
  <c r="L96" i="14"/>
  <c r="D96" i="14" s="1"/>
  <c r="F105" i="14"/>
  <c r="H87" i="14"/>
  <c r="F87" i="14"/>
  <c r="J60" i="14"/>
  <c r="J68" i="14" s="1"/>
  <c r="N78" i="14"/>
  <c r="D78" i="14" s="1"/>
  <c r="I41" i="14"/>
  <c r="I49" i="14" s="1"/>
  <c r="N154" i="47"/>
  <c r="N153" i="47" s="1"/>
  <c r="N184" i="6"/>
  <c r="M154" i="47"/>
  <c r="M153" i="47" s="1"/>
  <c r="M184" i="6"/>
  <c r="H154" i="47"/>
  <c r="H153" i="47" s="1"/>
  <c r="H184" i="6"/>
  <c r="I154" i="47"/>
  <c r="I153" i="47" s="1"/>
  <c r="I184" i="6"/>
  <c r="J154" i="47"/>
  <c r="J153" i="47" s="1"/>
  <c r="J184" i="6"/>
  <c r="L154" i="47"/>
  <c r="L153" i="47" s="1"/>
  <c r="L184" i="6"/>
  <c r="G118" i="14"/>
  <c r="G136" i="14"/>
  <c r="H136" i="14" s="1"/>
  <c r="G154" i="47"/>
  <c r="G153" i="47" s="1"/>
  <c r="G184" i="6"/>
  <c r="K154" i="47"/>
  <c r="K153" i="47" s="1"/>
  <c r="K184" i="6"/>
  <c r="G52" i="16"/>
  <c r="H3" i="17"/>
  <c r="I3" i="17" s="1"/>
  <c r="J3" i="17" s="1"/>
  <c r="K3" i="17" s="1"/>
  <c r="L3" i="17" s="1"/>
  <c r="M3" i="17" s="1"/>
  <c r="N3" i="17" s="1"/>
  <c r="O3" i="17" s="1"/>
  <c r="C13" i="51"/>
  <c r="F14" i="15"/>
  <c r="C88" i="41" s="1"/>
  <c r="F53" i="15"/>
  <c r="F54" i="15"/>
  <c r="I27" i="18"/>
  <c r="I28" i="18" s="1"/>
  <c r="I54" i="16"/>
  <c r="I52" i="16" s="1"/>
  <c r="F117" i="6"/>
  <c r="F99" i="47"/>
  <c r="D3" i="14"/>
  <c r="C103" i="41"/>
  <c r="J18" i="18"/>
  <c r="J19" i="18" s="1"/>
  <c r="J20" i="18" s="1"/>
  <c r="J53" i="16"/>
  <c r="H52" i="16"/>
  <c r="E55" i="41"/>
  <c r="E57" i="41" s="1"/>
  <c r="E48" i="41"/>
  <c r="I55" i="41"/>
  <c r="I57" i="41" s="1"/>
  <c r="I48" i="41"/>
  <c r="F55" i="41"/>
  <c r="F57" i="41" s="1"/>
  <c r="F48" i="41"/>
  <c r="G55" i="41"/>
  <c r="G57" i="41" s="1"/>
  <c r="G48" i="41"/>
  <c r="D55" i="41"/>
  <c r="D57" i="41" s="1"/>
  <c r="H55" i="41"/>
  <c r="H57" i="41" s="1"/>
  <c r="H48" i="41"/>
  <c r="L48" i="41"/>
  <c r="L55" i="41"/>
  <c r="L57" i="41" s="1"/>
  <c r="K55" i="41"/>
  <c r="K57" i="41" s="1"/>
  <c r="K48" i="41"/>
  <c r="J55" i="41"/>
  <c r="J57" i="41" s="1"/>
  <c r="J48" i="41"/>
  <c r="D113" i="41"/>
  <c r="D3" i="15"/>
  <c r="D3" i="16"/>
  <c r="J12" i="17"/>
  <c r="I24" i="31"/>
  <c r="I24" i="9"/>
  <c r="F20" i="28"/>
  <c r="M68" i="14"/>
  <c r="I32" i="14"/>
  <c r="J32" i="14"/>
  <c r="K9" i="14"/>
  <c r="K14" i="14" s="1"/>
  <c r="K32" i="14"/>
  <c r="F44" i="15"/>
  <c r="F119" i="6" s="1"/>
  <c r="F14" i="28"/>
  <c r="G36" i="10"/>
  <c r="G185" i="6" s="1"/>
  <c r="G35" i="29"/>
  <c r="G34" i="29" s="1"/>
  <c r="J36" i="10"/>
  <c r="J185" i="6" s="1"/>
  <c r="J35" i="29"/>
  <c r="J34" i="29" s="1"/>
  <c r="K36" i="10"/>
  <c r="K185" i="6" s="1"/>
  <c r="K35" i="29"/>
  <c r="K34" i="29" s="1"/>
  <c r="O36" i="10"/>
  <c r="O185" i="6" s="1"/>
  <c r="O35" i="29"/>
  <c r="O34" i="29" s="1"/>
  <c r="L36" i="10"/>
  <c r="L185" i="6" s="1"/>
  <c r="L35" i="29"/>
  <c r="L34" i="29" s="1"/>
  <c r="N36" i="10"/>
  <c r="N185" i="6" s="1"/>
  <c r="N35" i="29"/>
  <c r="N34" i="29" s="1"/>
  <c r="M36" i="10"/>
  <c r="M185" i="6" s="1"/>
  <c r="M35" i="29"/>
  <c r="M34" i="29" s="1"/>
  <c r="H36" i="10"/>
  <c r="H185" i="6" s="1"/>
  <c r="H35" i="29"/>
  <c r="H34" i="29" s="1"/>
  <c r="I36" i="10"/>
  <c r="I185" i="6" s="1"/>
  <c r="I35" i="29"/>
  <c r="I34" i="29" s="1"/>
  <c r="F5" i="11"/>
  <c r="F83" i="6" s="1"/>
  <c r="F5" i="28"/>
  <c r="H5" i="11"/>
  <c r="H83" i="6" s="1"/>
  <c r="H5" i="28"/>
  <c r="G5" i="11"/>
  <c r="G83" i="6" s="1"/>
  <c r="G5" i="28"/>
  <c r="G39" i="15"/>
  <c r="G45" i="15" s="1"/>
  <c r="G26" i="15"/>
  <c r="F38" i="15"/>
  <c r="G40" i="15"/>
  <c r="G46" i="15" s="1"/>
  <c r="G99" i="47" s="1"/>
  <c r="G98" i="47" s="1"/>
  <c r="G27" i="15"/>
  <c r="G31" i="15" s="1"/>
  <c r="G15" i="28" s="1"/>
  <c r="G14" i="28" s="1"/>
  <c r="G37" i="19"/>
  <c r="G35" i="19" s="1"/>
  <c r="G57" i="19" s="1"/>
  <c r="J92" i="13"/>
  <c r="I21" i="19"/>
  <c r="I19" i="19" s="1"/>
  <c r="I53" i="19" s="1"/>
  <c r="I99" i="13"/>
  <c r="H42" i="19"/>
  <c r="H40" i="19" s="1"/>
  <c r="J8" i="14"/>
  <c r="I91" i="13"/>
  <c r="H17" i="19"/>
  <c r="H15" i="19" s="1"/>
  <c r="H52" i="19" s="1"/>
  <c r="G13" i="19"/>
  <c r="G11" i="19" s="1"/>
  <c r="I20" i="18"/>
  <c r="L91" i="7"/>
  <c r="L95" i="7" s="1"/>
  <c r="K9" i="15"/>
  <c r="H62" i="17"/>
  <c r="H63" i="17" s="1"/>
  <c r="I61" i="17"/>
  <c r="J58" i="17" s="1"/>
  <c r="J52" i="17"/>
  <c r="K49" i="17" s="1"/>
  <c r="I53" i="17"/>
  <c r="H44" i="17"/>
  <c r="H45" i="17" s="1"/>
  <c r="G45" i="17"/>
  <c r="I43" i="17"/>
  <c r="J40" i="17" s="1"/>
  <c r="J27" i="16"/>
  <c r="D23" i="16"/>
  <c r="J21" i="16"/>
  <c r="G9" i="14"/>
  <c r="G14" i="14" s="1"/>
  <c r="H13" i="15"/>
  <c r="H18" i="15" s="1"/>
  <c r="H12" i="15"/>
  <c r="H17" i="15" s="1"/>
  <c r="M8" i="15"/>
  <c r="I8" i="14"/>
  <c r="D114" i="14"/>
  <c r="H118" i="14" s="1"/>
  <c r="K8" i="14"/>
  <c r="D150" i="14"/>
  <c r="D24" i="14"/>
  <c r="D149" i="14"/>
  <c r="F154" i="14"/>
  <c r="G154" i="14" s="1"/>
  <c r="H154" i="14" s="1"/>
  <c r="K33" i="16"/>
  <c r="K56" i="16" s="1"/>
  <c r="K27" i="16"/>
  <c r="K21" i="16"/>
  <c r="I8" i="16"/>
  <c r="J7" i="15"/>
  <c r="G8" i="14"/>
  <c r="F25" i="15"/>
  <c r="F30" i="15"/>
  <c r="F9" i="28" s="1"/>
  <c r="D113" i="14"/>
  <c r="D23" i="14"/>
  <c r="I89" i="14"/>
  <c r="J90" i="14"/>
  <c r="J63" i="14"/>
  <c r="J27" i="14"/>
  <c r="I125" i="14"/>
  <c r="J126" i="14"/>
  <c r="I143" i="14"/>
  <c r="J144" i="14"/>
  <c r="I80" i="14"/>
  <c r="J81" i="14"/>
  <c r="G28" i="14"/>
  <c r="J117" i="14"/>
  <c r="I134" i="14"/>
  <c r="J135" i="14"/>
  <c r="I152" i="14"/>
  <c r="J153" i="14"/>
  <c r="J44" i="14"/>
  <c r="J108" i="14"/>
  <c r="J99" i="14"/>
  <c r="V3" i="17" l="1"/>
  <c r="W3" i="17" s="1"/>
  <c r="X3" i="17" s="1"/>
  <c r="Y3" i="17" s="1"/>
  <c r="Z3" i="17" s="1"/>
  <c r="AA3" i="17" s="1"/>
  <c r="AB3" i="17" s="1"/>
  <c r="AC3" i="17" s="1"/>
  <c r="C96" i="41"/>
  <c r="F66" i="41"/>
  <c r="F113" i="41" s="1"/>
  <c r="I9" i="16"/>
  <c r="J55" i="16"/>
  <c r="J36" i="18"/>
  <c r="F38" i="18"/>
  <c r="K55" i="16"/>
  <c r="K36" i="18"/>
  <c r="K37" i="18" s="1"/>
  <c r="K38" i="18" s="1"/>
  <c r="J116" i="14"/>
  <c r="I116" i="14"/>
  <c r="I118" i="14" s="1"/>
  <c r="I98" i="14"/>
  <c r="G98" i="14"/>
  <c r="G100" i="14" s="1"/>
  <c r="H98" i="14"/>
  <c r="J98" i="14"/>
  <c r="I94" i="7"/>
  <c r="E86" i="41"/>
  <c r="I87" i="41"/>
  <c r="H31" i="17"/>
  <c r="H33" i="17" s="1"/>
  <c r="G35" i="17"/>
  <c r="G196" i="6"/>
  <c r="G185" i="47"/>
  <c r="G186" i="47" s="1"/>
  <c r="D102" i="41"/>
  <c r="G51" i="19"/>
  <c r="G5" i="19"/>
  <c r="K15" i="16"/>
  <c r="F18" i="14"/>
  <c r="D3" i="17"/>
  <c r="I89" i="47"/>
  <c r="I82" i="6"/>
  <c r="F104" i="47"/>
  <c r="F30" i="51"/>
  <c r="G93" i="6"/>
  <c r="N32" i="29"/>
  <c r="N30" i="29" s="1"/>
  <c r="N38" i="29" s="1"/>
  <c r="I9" i="14"/>
  <c r="I14" i="14" s="1"/>
  <c r="M6" i="22"/>
  <c r="K49" i="41"/>
  <c r="K50" i="41" s="1"/>
  <c r="K110" i="41" s="1"/>
  <c r="K111" i="41" s="1"/>
  <c r="N6" i="22"/>
  <c r="N151" i="47"/>
  <c r="N149" i="47" s="1"/>
  <c r="N157" i="47" s="1"/>
  <c r="N81" i="47" s="1"/>
  <c r="H32" i="29"/>
  <c r="H30" i="29" s="1"/>
  <c r="H38" i="29" s="1"/>
  <c r="J49" i="41"/>
  <c r="J50" i="41" s="1"/>
  <c r="J110" i="41" s="1"/>
  <c r="J111" i="41" s="1"/>
  <c r="M180" i="6"/>
  <c r="O6" i="22"/>
  <c r="M151" i="47"/>
  <c r="M149" i="47" s="1"/>
  <c r="M157" i="47" s="1"/>
  <c r="G18" i="14"/>
  <c r="O32" i="29"/>
  <c r="O30" i="29" s="1"/>
  <c r="O38" i="29" s="1"/>
  <c r="O180" i="6"/>
  <c r="H180" i="6"/>
  <c r="H151" i="47"/>
  <c r="H149" i="47" s="1"/>
  <c r="H157" i="47" s="1"/>
  <c r="H81" i="47" s="1"/>
  <c r="D68" i="14"/>
  <c r="H6" i="22"/>
  <c r="O151" i="47"/>
  <c r="O149" i="47" s="1"/>
  <c r="O157" i="47" s="1"/>
  <c r="O201" i="47" s="1"/>
  <c r="D60" i="14"/>
  <c r="M9" i="14"/>
  <c r="M14" i="14" s="1"/>
  <c r="L32" i="29"/>
  <c r="L30" i="29" s="1"/>
  <c r="L38" i="29" s="1"/>
  <c r="J9" i="14"/>
  <c r="J14" i="14" s="1"/>
  <c r="L6" i="22"/>
  <c r="L180" i="6"/>
  <c r="L151" i="47"/>
  <c r="L149" i="47" s="1"/>
  <c r="L157" i="47" s="1"/>
  <c r="L81" i="47" s="1"/>
  <c r="D41" i="14"/>
  <c r="D49" i="14"/>
  <c r="G151" i="47"/>
  <c r="G149" i="47" s="1"/>
  <c r="G157" i="47" s="1"/>
  <c r="G180" i="6"/>
  <c r="J151" i="47"/>
  <c r="J149" i="47" s="1"/>
  <c r="J157" i="47" s="1"/>
  <c r="J180" i="6"/>
  <c r="D87" i="14"/>
  <c r="F91" i="14"/>
  <c r="G91" i="14" s="1"/>
  <c r="H91" i="14" s="1"/>
  <c r="I91" i="14" s="1"/>
  <c r="F109" i="14"/>
  <c r="D105" i="14"/>
  <c r="G109" i="14" s="1"/>
  <c r="I151" i="47"/>
  <c r="I149" i="47" s="1"/>
  <c r="I157" i="47" s="1"/>
  <c r="I180" i="6"/>
  <c r="L32" i="14"/>
  <c r="D32" i="14" s="1"/>
  <c r="L9" i="14"/>
  <c r="L14" i="14" s="1"/>
  <c r="N9" i="14"/>
  <c r="N14" i="14" s="1"/>
  <c r="K151" i="47"/>
  <c r="K149" i="47" s="1"/>
  <c r="K157" i="47" s="1"/>
  <c r="K180" i="6"/>
  <c r="F56" i="11"/>
  <c r="F116" i="6"/>
  <c r="F12" i="42"/>
  <c r="F20" i="42"/>
  <c r="F8" i="26"/>
  <c r="F144" i="47"/>
  <c r="F51" i="15"/>
  <c r="G50" i="19"/>
  <c r="F98" i="47"/>
  <c r="F134" i="47"/>
  <c r="F15" i="10"/>
  <c r="G9" i="11"/>
  <c r="G93" i="47"/>
  <c r="J27" i="18"/>
  <c r="J28" i="18" s="1"/>
  <c r="J29" i="18" s="1"/>
  <c r="J54" i="16"/>
  <c r="J52" i="16" s="1"/>
  <c r="K27" i="18"/>
  <c r="K28" i="18" s="1"/>
  <c r="K29" i="18" s="1"/>
  <c r="K54" i="16"/>
  <c r="L50" i="41"/>
  <c r="L110" i="41" s="1"/>
  <c r="L111" i="41" s="1"/>
  <c r="K18" i="18"/>
  <c r="K19" i="18" s="1"/>
  <c r="K20" i="18" s="1"/>
  <c r="K53" i="16"/>
  <c r="E50" i="41"/>
  <c r="E110" i="41" s="1"/>
  <c r="E111" i="41" s="1"/>
  <c r="D17" i="16"/>
  <c r="H49" i="41"/>
  <c r="H50" i="41" s="1"/>
  <c r="H110" i="41" s="1"/>
  <c r="H111" i="41" s="1"/>
  <c r="F49" i="41"/>
  <c r="F50" i="41" s="1"/>
  <c r="F110" i="41" s="1"/>
  <c r="F111" i="41" s="1"/>
  <c r="F10" i="42"/>
  <c r="F11" i="42"/>
  <c r="H11" i="22"/>
  <c r="G11" i="22"/>
  <c r="G49" i="41"/>
  <c r="G50" i="41" s="1"/>
  <c r="G110" i="41" s="1"/>
  <c r="G111" i="41" s="1"/>
  <c r="D49" i="41"/>
  <c r="I50" i="41"/>
  <c r="I110" i="41" s="1"/>
  <c r="I111" i="41" s="1"/>
  <c r="D48" i="41"/>
  <c r="K7" i="15"/>
  <c r="K12" i="17"/>
  <c r="J24" i="31"/>
  <c r="J24" i="9"/>
  <c r="H21" i="17"/>
  <c r="G27" i="31"/>
  <c r="G26" i="31" s="1"/>
  <c r="G7" i="26"/>
  <c r="H6" i="26" s="1"/>
  <c r="H26" i="14"/>
  <c r="H28" i="14" s="1"/>
  <c r="F15" i="29"/>
  <c r="G44" i="15"/>
  <c r="G119" i="6" s="1"/>
  <c r="G15" i="11"/>
  <c r="G117" i="6" s="1"/>
  <c r="M38" i="29"/>
  <c r="G6" i="22"/>
  <c r="G32" i="29"/>
  <c r="G30" i="29" s="1"/>
  <c r="G38" i="29" s="1"/>
  <c r="J6" i="22"/>
  <c r="J32" i="29"/>
  <c r="J30" i="29" s="1"/>
  <c r="J38" i="29" s="1"/>
  <c r="K6" i="22"/>
  <c r="K32" i="29"/>
  <c r="K30" i="29" s="1"/>
  <c r="K38" i="29" s="1"/>
  <c r="I6" i="22"/>
  <c r="I32" i="29"/>
  <c r="I30" i="29" s="1"/>
  <c r="I38" i="29" s="1"/>
  <c r="I5" i="11"/>
  <c r="I83" i="6" s="1"/>
  <c r="I5" i="28"/>
  <c r="H39" i="15"/>
  <c r="H45" i="15" s="1"/>
  <c r="H93" i="47" s="1"/>
  <c r="H26" i="15"/>
  <c r="F42" i="15"/>
  <c r="H40" i="15"/>
  <c r="H46" i="15" s="1"/>
  <c r="H27" i="15"/>
  <c r="H31" i="15" s="1"/>
  <c r="H15" i="28" s="1"/>
  <c r="H14" i="28" s="1"/>
  <c r="G38" i="15"/>
  <c r="G20" i="42" s="1"/>
  <c r="J99" i="13"/>
  <c r="I42" i="19"/>
  <c r="I40" i="19" s="1"/>
  <c r="K92" i="13"/>
  <c r="J21" i="19"/>
  <c r="J19" i="19" s="1"/>
  <c r="J53" i="19" s="1"/>
  <c r="I97" i="13"/>
  <c r="H37" i="19"/>
  <c r="H35" i="19" s="1"/>
  <c r="H57" i="19" s="1"/>
  <c r="I89" i="13"/>
  <c r="F10" i="16"/>
  <c r="C67" i="41" s="1"/>
  <c r="F12" i="16"/>
  <c r="G12" i="16" s="1"/>
  <c r="H12" i="16" s="1"/>
  <c r="J91" i="13"/>
  <c r="I17" i="19"/>
  <c r="I15" i="19" s="1"/>
  <c r="I52" i="19" s="1"/>
  <c r="I88" i="13"/>
  <c r="H13" i="19"/>
  <c r="H11" i="19" s="1"/>
  <c r="J8" i="16"/>
  <c r="I29" i="18"/>
  <c r="H10" i="16"/>
  <c r="E67" i="41" s="1"/>
  <c r="G10" i="16"/>
  <c r="D67" i="41" s="1"/>
  <c r="M91" i="7"/>
  <c r="M95" i="7" s="1"/>
  <c r="J87" i="41" s="1"/>
  <c r="J112" i="41" s="1"/>
  <c r="L9" i="15"/>
  <c r="I62" i="17"/>
  <c r="I63" i="17" s="1"/>
  <c r="J61" i="17"/>
  <c r="K58" i="17" s="1"/>
  <c r="K52" i="17"/>
  <c r="L49" i="17" s="1"/>
  <c r="I54" i="17"/>
  <c r="J53" i="17"/>
  <c r="J54" i="17" s="1"/>
  <c r="J43" i="17"/>
  <c r="K40" i="17" s="1"/>
  <c r="I44" i="17"/>
  <c r="G16" i="15"/>
  <c r="I12" i="15"/>
  <c r="I17" i="15" s="1"/>
  <c r="I13" i="15"/>
  <c r="I18" i="15" s="1"/>
  <c r="L15" i="16"/>
  <c r="N8" i="15"/>
  <c r="I26" i="14"/>
  <c r="I82" i="14"/>
  <c r="K39" i="16"/>
  <c r="L21" i="16"/>
  <c r="L27" i="16"/>
  <c r="F29" i="15"/>
  <c r="I145" i="14"/>
  <c r="I154" i="14"/>
  <c r="I136" i="14"/>
  <c r="K99" i="14"/>
  <c r="K98" i="14" s="1"/>
  <c r="J80" i="14"/>
  <c r="K81" i="14"/>
  <c r="K144" i="14"/>
  <c r="J143" i="14"/>
  <c r="K44" i="14"/>
  <c r="K43" i="14" s="1"/>
  <c r="K90" i="14"/>
  <c r="J89" i="14"/>
  <c r="J152" i="14"/>
  <c r="K153" i="14"/>
  <c r="J26" i="14"/>
  <c r="J34" i="14" s="1"/>
  <c r="K27" i="14"/>
  <c r="K63" i="14"/>
  <c r="K108" i="14"/>
  <c r="J134" i="14"/>
  <c r="K135" i="14"/>
  <c r="K117" i="14"/>
  <c r="K116" i="14" s="1"/>
  <c r="J125" i="14"/>
  <c r="K126" i="14"/>
  <c r="I112" i="41" l="1"/>
  <c r="J37" i="18"/>
  <c r="G66" i="41"/>
  <c r="G113" i="41" s="1"/>
  <c r="J9" i="16"/>
  <c r="L55" i="16"/>
  <c r="L36" i="18"/>
  <c r="L37" i="18" s="1"/>
  <c r="L38" i="18" s="1"/>
  <c r="I107" i="14"/>
  <c r="J107" i="14"/>
  <c r="K107" i="14"/>
  <c r="H107" i="14"/>
  <c r="H109" i="14" s="1"/>
  <c r="H62" i="14"/>
  <c r="H70" i="14" s="1"/>
  <c r="H72" i="14" s="1"/>
  <c r="H116" i="14"/>
  <c r="H100" i="14"/>
  <c r="I100" i="14" s="1"/>
  <c r="J118" i="14"/>
  <c r="K118" i="14" s="1"/>
  <c r="F118" i="6"/>
  <c r="J94" i="7"/>
  <c r="F86" i="41"/>
  <c r="I86" i="41"/>
  <c r="G43" i="14"/>
  <c r="I43" i="14"/>
  <c r="I51" i="14" s="1"/>
  <c r="H43" i="14"/>
  <c r="J43" i="14"/>
  <c r="J51" i="14" s="1"/>
  <c r="H183" i="47"/>
  <c r="G187" i="47"/>
  <c r="G36" i="17"/>
  <c r="G25" i="17"/>
  <c r="H51" i="19"/>
  <c r="H50" i="19" s="1"/>
  <c r="H5" i="19"/>
  <c r="F97" i="6"/>
  <c r="J89" i="47"/>
  <c r="J82" i="6"/>
  <c r="J62" i="14"/>
  <c r="I62" i="14"/>
  <c r="I70" i="14" s="1"/>
  <c r="M201" i="47"/>
  <c r="M81" i="47"/>
  <c r="G97" i="6"/>
  <c r="O81" i="47"/>
  <c r="N201" i="47"/>
  <c r="H201" i="47"/>
  <c r="L201" i="47"/>
  <c r="J81" i="47"/>
  <c r="J201" i="47"/>
  <c r="G81" i="47"/>
  <c r="G201" i="47"/>
  <c r="G92" i="47"/>
  <c r="G6" i="19"/>
  <c r="G109" i="6"/>
  <c r="I81" i="47"/>
  <c r="I201" i="47"/>
  <c r="K81" i="47"/>
  <c r="K201" i="47"/>
  <c r="F127" i="47"/>
  <c r="F126" i="47" s="1"/>
  <c r="F167" i="6"/>
  <c r="H127" i="47"/>
  <c r="H126" i="47" s="1"/>
  <c r="H174" i="47" s="1"/>
  <c r="H167" i="6"/>
  <c r="G127" i="47"/>
  <c r="G126" i="47" s="1"/>
  <c r="G174" i="47" s="1"/>
  <c r="G167" i="6"/>
  <c r="G56" i="11"/>
  <c r="G116" i="6"/>
  <c r="G118" i="6" s="1"/>
  <c r="F28" i="42"/>
  <c r="F34" i="42"/>
  <c r="F166" i="47"/>
  <c r="F171" i="47" s="1"/>
  <c r="F205" i="47" s="1"/>
  <c r="F16" i="10"/>
  <c r="F56" i="15"/>
  <c r="F133" i="47" s="1"/>
  <c r="F16" i="29"/>
  <c r="F135" i="47"/>
  <c r="G14" i="15"/>
  <c r="D88" i="41" s="1"/>
  <c r="G53" i="15"/>
  <c r="G54" i="15"/>
  <c r="L27" i="18"/>
  <c r="L28" i="18" s="1"/>
  <c r="L29" i="18" s="1"/>
  <c r="L54" i="16"/>
  <c r="H15" i="11"/>
  <c r="H117" i="6" s="1"/>
  <c r="H99" i="47"/>
  <c r="K8" i="16"/>
  <c r="K57" i="16"/>
  <c r="K52" i="16" s="1"/>
  <c r="G134" i="47"/>
  <c r="G12" i="42"/>
  <c r="D50" i="41"/>
  <c r="D110" i="41" s="1"/>
  <c r="D111" i="41" s="1"/>
  <c r="L18" i="18"/>
  <c r="L19" i="18" s="1"/>
  <c r="L20" i="18" s="1"/>
  <c r="L53" i="16"/>
  <c r="F19" i="42"/>
  <c r="L12" i="17"/>
  <c r="K24" i="31"/>
  <c r="K24" i="9"/>
  <c r="G8" i="26"/>
  <c r="J30" i="32"/>
  <c r="H30" i="32"/>
  <c r="G30" i="32"/>
  <c r="N30" i="32"/>
  <c r="L30" i="32"/>
  <c r="O30" i="32"/>
  <c r="I30" i="32"/>
  <c r="M30" i="32"/>
  <c r="K30" i="32"/>
  <c r="H7" i="26"/>
  <c r="I6" i="26" s="1"/>
  <c r="I10" i="14"/>
  <c r="I34" i="14"/>
  <c r="H34" i="14"/>
  <c r="G15" i="10"/>
  <c r="H44" i="15"/>
  <c r="H119" i="6" s="1"/>
  <c r="H9" i="11"/>
  <c r="G8" i="11"/>
  <c r="G8" i="28"/>
  <c r="F8" i="10"/>
  <c r="F168" i="6" s="1"/>
  <c r="F8" i="29"/>
  <c r="H8" i="10"/>
  <c r="H168" i="6" s="1"/>
  <c r="H8" i="29"/>
  <c r="H7" i="29" s="1"/>
  <c r="G8" i="10"/>
  <c r="G168" i="6" s="1"/>
  <c r="G8" i="29"/>
  <c r="G7" i="29" s="1"/>
  <c r="J5" i="11"/>
  <c r="J83" i="6" s="1"/>
  <c r="J5" i="28"/>
  <c r="I40" i="15"/>
  <c r="I46" i="15" s="1"/>
  <c r="I27" i="15"/>
  <c r="I31" i="15" s="1"/>
  <c r="I15" i="28" s="1"/>
  <c r="I14" i="28" s="1"/>
  <c r="I39" i="15"/>
  <c r="I26" i="15"/>
  <c r="H38" i="15"/>
  <c r="H20" i="42" s="1"/>
  <c r="J89" i="13"/>
  <c r="J97" i="13"/>
  <c r="I37" i="19"/>
  <c r="I35" i="19" s="1"/>
  <c r="I57" i="19" s="1"/>
  <c r="L92" i="13"/>
  <c r="K21" i="19"/>
  <c r="K19" i="19" s="1"/>
  <c r="K53" i="19" s="1"/>
  <c r="K99" i="13"/>
  <c r="J42" i="19"/>
  <c r="J40" i="19" s="1"/>
  <c r="I11" i="22"/>
  <c r="K91" i="13"/>
  <c r="J17" i="19"/>
  <c r="J15" i="19" s="1"/>
  <c r="J52" i="19" s="1"/>
  <c r="J88" i="13"/>
  <c r="I13" i="19"/>
  <c r="I11" i="19" s="1"/>
  <c r="L7" i="15"/>
  <c r="N91" i="7"/>
  <c r="M9" i="15"/>
  <c r="J44" i="17"/>
  <c r="J45" i="17" s="1"/>
  <c r="K61" i="17"/>
  <c r="L58" i="17" s="1"/>
  <c r="J62" i="17"/>
  <c r="L52" i="17"/>
  <c r="M49" i="17" s="1"/>
  <c r="K53" i="17"/>
  <c r="K54" i="17" s="1"/>
  <c r="I45" i="17"/>
  <c r="J145" i="14"/>
  <c r="K43" i="17"/>
  <c r="L40" i="17" s="1"/>
  <c r="D35" i="16"/>
  <c r="J13" i="15"/>
  <c r="J18" i="15" s="1"/>
  <c r="H16" i="15"/>
  <c r="H25" i="15"/>
  <c r="H30" i="15"/>
  <c r="H9" i="28" s="1"/>
  <c r="J12" i="15"/>
  <c r="J17" i="15" s="1"/>
  <c r="G25" i="15"/>
  <c r="G30" i="15"/>
  <c r="G9" i="28" s="1"/>
  <c r="O8" i="15"/>
  <c r="J82" i="14"/>
  <c r="I12" i="16"/>
  <c r="I10" i="16"/>
  <c r="F67" i="41" s="1"/>
  <c r="D41" i="16"/>
  <c r="L39" i="16"/>
  <c r="L57" i="16" s="1"/>
  <c r="L33" i="16"/>
  <c r="L56" i="16" s="1"/>
  <c r="M21" i="16"/>
  <c r="M39" i="16"/>
  <c r="M57" i="16" s="1"/>
  <c r="M27" i="16"/>
  <c r="M33" i="16"/>
  <c r="M56" i="16" s="1"/>
  <c r="D29" i="16"/>
  <c r="J154" i="14"/>
  <c r="J136" i="14"/>
  <c r="K152" i="14"/>
  <c r="L153" i="14"/>
  <c r="L108" i="14"/>
  <c r="L107" i="14" s="1"/>
  <c r="K26" i="14"/>
  <c r="K34" i="14" s="1"/>
  <c r="K16" i="14" s="1"/>
  <c r="K94" i="47" s="1"/>
  <c r="L27" i="14"/>
  <c r="K143" i="14"/>
  <c r="L144" i="14"/>
  <c r="K80" i="14"/>
  <c r="L81" i="14"/>
  <c r="K89" i="14"/>
  <c r="L90" i="14"/>
  <c r="J91" i="14"/>
  <c r="L117" i="14"/>
  <c r="L116" i="14" s="1"/>
  <c r="K134" i="14"/>
  <c r="L135" i="14"/>
  <c r="I28" i="14"/>
  <c r="K62" i="14"/>
  <c r="L63" i="14"/>
  <c r="J100" i="14"/>
  <c r="K125" i="14"/>
  <c r="L126" i="14"/>
  <c r="L44" i="14"/>
  <c r="L43" i="14" s="1"/>
  <c r="I10" i="28" l="1"/>
  <c r="I10" i="11"/>
  <c r="H66" i="41"/>
  <c r="K9" i="16"/>
  <c r="M55" i="16"/>
  <c r="M36" i="18"/>
  <c r="L118" i="14"/>
  <c r="J38" i="18"/>
  <c r="I109" i="14"/>
  <c r="J109" i="14" s="1"/>
  <c r="H64" i="14"/>
  <c r="H10" i="14"/>
  <c r="N95" i="7"/>
  <c r="K87" i="41" s="1"/>
  <c r="K94" i="7"/>
  <c r="H86" i="41" s="1"/>
  <c r="G86" i="41"/>
  <c r="J86" i="41"/>
  <c r="J16" i="14"/>
  <c r="J94" i="47" s="1"/>
  <c r="J10" i="14"/>
  <c r="J70" i="14"/>
  <c r="D70" i="14"/>
  <c r="G51" i="14"/>
  <c r="G16" i="14" s="1"/>
  <c r="G10" i="14"/>
  <c r="D103" i="41"/>
  <c r="G138" i="6"/>
  <c r="G20" i="28"/>
  <c r="G25" i="29"/>
  <c r="G47" i="29" s="1"/>
  <c r="G52" i="29" s="1"/>
  <c r="G26" i="17"/>
  <c r="G188" i="47"/>
  <c r="G144" i="47" s="1"/>
  <c r="G166" i="47" s="1"/>
  <c r="G171" i="47" s="1"/>
  <c r="G205" i="47" s="1"/>
  <c r="G104" i="47"/>
  <c r="H48" i="29"/>
  <c r="H47" i="29" s="1"/>
  <c r="H52" i="29" s="1"/>
  <c r="I33" i="17"/>
  <c r="H167" i="47"/>
  <c r="H23" i="17"/>
  <c r="H34" i="17"/>
  <c r="I51" i="19"/>
  <c r="I50" i="19" s="1"/>
  <c r="I5" i="19"/>
  <c r="I64" i="14"/>
  <c r="J64" i="14" s="1"/>
  <c r="K64" i="14" s="1"/>
  <c r="I16" i="14"/>
  <c r="I94" i="47" s="1"/>
  <c r="I72" i="14"/>
  <c r="J72" i="14" s="1"/>
  <c r="K72" i="14" s="1"/>
  <c r="L72" i="14" s="1"/>
  <c r="M72" i="14" s="1"/>
  <c r="N72" i="14" s="1"/>
  <c r="O72" i="14" s="1"/>
  <c r="K89" i="47"/>
  <c r="K11" i="22"/>
  <c r="K82" i="6"/>
  <c r="H51" i="14"/>
  <c r="H16" i="14" s="1"/>
  <c r="H45" i="14"/>
  <c r="I45" i="14" s="1"/>
  <c r="J45" i="14" s="1"/>
  <c r="K45" i="14" s="1"/>
  <c r="H92" i="47"/>
  <c r="H6" i="19"/>
  <c r="H109" i="6"/>
  <c r="I127" i="47"/>
  <c r="I126" i="47" s="1"/>
  <c r="I174" i="47" s="1"/>
  <c r="I167" i="6"/>
  <c r="H56" i="11"/>
  <c r="H116" i="6"/>
  <c r="H118" i="6" s="1"/>
  <c r="G55" i="11"/>
  <c r="G110" i="6"/>
  <c r="F14" i="29"/>
  <c r="F14" i="10"/>
  <c r="H14" i="15"/>
  <c r="E88" i="41" s="1"/>
  <c r="H53" i="15"/>
  <c r="H54" i="15"/>
  <c r="G51" i="15"/>
  <c r="G56" i="15" s="1"/>
  <c r="G133" i="47" s="1"/>
  <c r="H113" i="41"/>
  <c r="K5" i="28"/>
  <c r="K5" i="11"/>
  <c r="K83" i="6" s="1"/>
  <c r="I15" i="11"/>
  <c r="I117" i="6" s="1"/>
  <c r="I99" i="47"/>
  <c r="I98" i="47" s="1"/>
  <c r="H98" i="47"/>
  <c r="M27" i="18"/>
  <c r="M28" i="18" s="1"/>
  <c r="M29" i="18" s="1"/>
  <c r="M54" i="16"/>
  <c r="H134" i="47"/>
  <c r="H12" i="42"/>
  <c r="L52" i="16"/>
  <c r="G7" i="19"/>
  <c r="G10" i="42"/>
  <c r="G11" i="42"/>
  <c r="M12" i="17"/>
  <c r="L24" i="31"/>
  <c r="L24" i="9"/>
  <c r="H8" i="26"/>
  <c r="G13" i="22"/>
  <c r="H36" i="14"/>
  <c r="I36" i="14" s="1"/>
  <c r="I7" i="26"/>
  <c r="G15" i="29"/>
  <c r="H15" i="29"/>
  <c r="H15" i="10"/>
  <c r="I38" i="15"/>
  <c r="I20" i="42" s="1"/>
  <c r="L8" i="16"/>
  <c r="I45" i="15"/>
  <c r="H8" i="11"/>
  <c r="H8" i="28"/>
  <c r="I8" i="10"/>
  <c r="I168" i="6" s="1"/>
  <c r="I8" i="29"/>
  <c r="I7" i="29" s="1"/>
  <c r="G55" i="29"/>
  <c r="H55" i="29"/>
  <c r="F7" i="29"/>
  <c r="G42" i="15"/>
  <c r="J40" i="15"/>
  <c r="J46" i="15" s="1"/>
  <c r="J27" i="15"/>
  <c r="J39" i="15"/>
  <c r="J45" i="15" s="1"/>
  <c r="J93" i="47" s="1"/>
  <c r="J26" i="15"/>
  <c r="H42" i="15"/>
  <c r="L99" i="13"/>
  <c r="K42" i="19"/>
  <c r="K40" i="19" s="1"/>
  <c r="M92" i="13"/>
  <c r="L21" i="19"/>
  <c r="L19" i="19" s="1"/>
  <c r="L53" i="19" s="1"/>
  <c r="K97" i="13"/>
  <c r="J37" i="19"/>
  <c r="J35" i="19" s="1"/>
  <c r="J57" i="19" s="1"/>
  <c r="K89" i="13"/>
  <c r="J11" i="22"/>
  <c r="L91" i="13"/>
  <c r="K17" i="19"/>
  <c r="K15" i="19" s="1"/>
  <c r="K52" i="19" s="1"/>
  <c r="J10" i="16"/>
  <c r="G67" i="41" s="1"/>
  <c r="J12" i="16"/>
  <c r="K88" i="13"/>
  <c r="J13" i="19"/>
  <c r="J11" i="19" s="1"/>
  <c r="M15" i="16"/>
  <c r="K145" i="14"/>
  <c r="G29" i="15"/>
  <c r="H29" i="15"/>
  <c r="O91" i="7"/>
  <c r="N9" i="15"/>
  <c r="M7" i="15"/>
  <c r="J63" i="17"/>
  <c r="K62" i="17"/>
  <c r="K63" i="17" s="1"/>
  <c r="L61" i="17"/>
  <c r="M58" i="17" s="1"/>
  <c r="L53" i="17"/>
  <c r="L54" i="17" s="1"/>
  <c r="M52" i="17"/>
  <c r="N49" i="17" s="1"/>
  <c r="K44" i="17"/>
  <c r="K45" i="17" s="1"/>
  <c r="L43" i="17"/>
  <c r="M40" i="17" s="1"/>
  <c r="K81" i="13"/>
  <c r="K13" i="15" s="1"/>
  <c r="K18" i="15" s="1"/>
  <c r="K80" i="13"/>
  <c r="K12" i="15" s="1"/>
  <c r="K17" i="15" s="1"/>
  <c r="I25" i="15"/>
  <c r="I16" i="15"/>
  <c r="K82" i="14"/>
  <c r="N33" i="16"/>
  <c r="N56" i="16" s="1"/>
  <c r="N15" i="16"/>
  <c r="N39" i="16"/>
  <c r="N57" i="16" s="1"/>
  <c r="N27" i="16"/>
  <c r="N21" i="16"/>
  <c r="K109" i="14"/>
  <c r="K154" i="14"/>
  <c r="K136" i="14"/>
  <c r="K10" i="14"/>
  <c r="K91" i="14"/>
  <c r="L62" i="14"/>
  <c r="M63" i="14"/>
  <c r="J28" i="14"/>
  <c r="M44" i="14"/>
  <c r="M43" i="14" s="1"/>
  <c r="M108" i="14"/>
  <c r="L152" i="14"/>
  <c r="M153" i="14"/>
  <c r="M90" i="14"/>
  <c r="L89" i="14"/>
  <c r="L80" i="14"/>
  <c r="M81" i="14"/>
  <c r="L134" i="14"/>
  <c r="M135" i="14"/>
  <c r="M144" i="14"/>
  <c r="L143" i="14"/>
  <c r="L26" i="14"/>
  <c r="L34" i="14" s="1"/>
  <c r="L16" i="14" s="1"/>
  <c r="L94" i="47" s="1"/>
  <c r="M27" i="14"/>
  <c r="L98" i="14"/>
  <c r="L125" i="14"/>
  <c r="M126" i="14"/>
  <c r="M117" i="14"/>
  <c r="M116" i="14" s="1"/>
  <c r="K100" i="14"/>
  <c r="H10" i="28" l="1"/>
  <c r="H10" i="11"/>
  <c r="K10" i="28"/>
  <c r="K10" i="11"/>
  <c r="G10" i="28"/>
  <c r="G10" i="11"/>
  <c r="J10" i="28"/>
  <c r="J10" i="11"/>
  <c r="I66" i="41"/>
  <c r="L9" i="16"/>
  <c r="N55" i="16"/>
  <c r="N36" i="18"/>
  <c r="N37" i="18" s="1"/>
  <c r="N38" i="18" s="1"/>
  <c r="I8" i="26"/>
  <c r="J6" i="26"/>
  <c r="M118" i="14"/>
  <c r="M37" i="18"/>
  <c r="K112" i="41"/>
  <c r="O95" i="7"/>
  <c r="L87" i="41" s="1"/>
  <c r="L112" i="41" s="1"/>
  <c r="M112" i="41" s="1"/>
  <c r="K86" i="41"/>
  <c r="G94" i="47"/>
  <c r="F35" i="51"/>
  <c r="G26" i="10"/>
  <c r="H196" i="6"/>
  <c r="E102" i="41"/>
  <c r="H185" i="47"/>
  <c r="H186" i="47" s="1"/>
  <c r="H24" i="17"/>
  <c r="I23" i="17"/>
  <c r="I167" i="47"/>
  <c r="J33" i="17"/>
  <c r="I48" i="29"/>
  <c r="I31" i="17"/>
  <c r="H35" i="17"/>
  <c r="J51" i="19"/>
  <c r="J5" i="19"/>
  <c r="L89" i="47"/>
  <c r="L82" i="6"/>
  <c r="H94" i="47"/>
  <c r="F71" i="6"/>
  <c r="H53" i="14"/>
  <c r="I53" i="14" s="1"/>
  <c r="J53" i="14" s="1"/>
  <c r="K53" i="14" s="1"/>
  <c r="L53" i="14" s="1"/>
  <c r="M53" i="14" s="1"/>
  <c r="N53" i="14" s="1"/>
  <c r="O53" i="14" s="1"/>
  <c r="D51" i="14"/>
  <c r="G132" i="47"/>
  <c r="G113" i="6"/>
  <c r="I6" i="19"/>
  <c r="I109" i="6"/>
  <c r="J127" i="47"/>
  <c r="J126" i="47" s="1"/>
  <c r="J174" i="47" s="1"/>
  <c r="J167" i="6"/>
  <c r="H55" i="11"/>
  <c r="H110" i="6"/>
  <c r="H28" i="42"/>
  <c r="H34" i="42"/>
  <c r="G28" i="42"/>
  <c r="G34" i="42"/>
  <c r="M53" i="17"/>
  <c r="M54" i="17" s="1"/>
  <c r="G16" i="29"/>
  <c r="G16" i="10"/>
  <c r="G135" i="47"/>
  <c r="I14" i="15"/>
  <c r="F88" i="41" s="1"/>
  <c r="I53" i="15"/>
  <c r="I54" i="15"/>
  <c r="H51" i="15"/>
  <c r="H16" i="10" s="1"/>
  <c r="G14" i="29"/>
  <c r="G14" i="10"/>
  <c r="K12" i="16"/>
  <c r="K10" i="16"/>
  <c r="H67" i="41" s="1"/>
  <c r="I134" i="47"/>
  <c r="I12" i="42"/>
  <c r="J50" i="19"/>
  <c r="N27" i="18"/>
  <c r="N28" i="18" s="1"/>
  <c r="N29" i="18" s="1"/>
  <c r="N54" i="16"/>
  <c r="I8" i="11"/>
  <c r="I92" i="47"/>
  <c r="I44" i="15"/>
  <c r="I119" i="6" s="1"/>
  <c r="I93" i="47"/>
  <c r="J15" i="11"/>
  <c r="J117" i="6" s="1"/>
  <c r="J99" i="47"/>
  <c r="J98" i="47" s="1"/>
  <c r="G13" i="10"/>
  <c r="M18" i="18"/>
  <c r="M19" i="18" s="1"/>
  <c r="M53" i="16"/>
  <c r="N18" i="18"/>
  <c r="N19" i="18" s="1"/>
  <c r="N20" i="18" s="1"/>
  <c r="N53" i="16"/>
  <c r="G19" i="42"/>
  <c r="H10" i="42"/>
  <c r="H11" i="42"/>
  <c r="G13" i="29"/>
  <c r="H7" i="19"/>
  <c r="L5" i="28"/>
  <c r="I9" i="11"/>
  <c r="I8" i="28"/>
  <c r="N12" i="17"/>
  <c r="M24" i="31"/>
  <c r="M24" i="9"/>
  <c r="H13" i="22"/>
  <c r="J7" i="26"/>
  <c r="K6" i="26" s="1"/>
  <c r="J36" i="14"/>
  <c r="I15" i="29"/>
  <c r="I15" i="10"/>
  <c r="L5" i="11"/>
  <c r="L83" i="6" s="1"/>
  <c r="J38" i="15"/>
  <c r="J20" i="42" s="1"/>
  <c r="J44" i="15"/>
  <c r="J119" i="6" s="1"/>
  <c r="J9" i="11"/>
  <c r="I55" i="29"/>
  <c r="J8" i="10"/>
  <c r="J168" i="6" s="1"/>
  <c r="J8" i="29"/>
  <c r="K27" i="15"/>
  <c r="K31" i="15" s="1"/>
  <c r="K15" i="28" s="1"/>
  <c r="K14" i="28" s="1"/>
  <c r="K40" i="15"/>
  <c r="K46" i="15" s="1"/>
  <c r="I42" i="15"/>
  <c r="K39" i="15"/>
  <c r="K26" i="15"/>
  <c r="L89" i="13"/>
  <c r="L97" i="13"/>
  <c r="K37" i="19"/>
  <c r="K35" i="19" s="1"/>
  <c r="K57" i="19" s="1"/>
  <c r="N92" i="13"/>
  <c r="M21" i="19"/>
  <c r="M19" i="19" s="1"/>
  <c r="M53" i="19" s="1"/>
  <c r="M99" i="13"/>
  <c r="L42" i="19"/>
  <c r="L40" i="19" s="1"/>
  <c r="L145" i="14"/>
  <c r="M8" i="16"/>
  <c r="M91" i="13"/>
  <c r="L17" i="19"/>
  <c r="L15" i="19" s="1"/>
  <c r="L52" i="19" s="1"/>
  <c r="L88" i="13"/>
  <c r="K13" i="19"/>
  <c r="K11" i="19" s="1"/>
  <c r="N7" i="15"/>
  <c r="O9" i="15"/>
  <c r="L62" i="17"/>
  <c r="L63" i="17" s="1"/>
  <c r="M61" i="17"/>
  <c r="N58" i="17" s="1"/>
  <c r="N52" i="17"/>
  <c r="O49" i="17" s="1"/>
  <c r="L44" i="17"/>
  <c r="L45" i="17" s="1"/>
  <c r="M43" i="17"/>
  <c r="N40" i="17" s="1"/>
  <c r="L45" i="14"/>
  <c r="L81" i="13"/>
  <c r="L13" i="15" s="1"/>
  <c r="L18" i="15" s="1"/>
  <c r="I30" i="15"/>
  <c r="I9" i="28" s="1"/>
  <c r="J30" i="15"/>
  <c r="J9" i="28" s="1"/>
  <c r="L80" i="13"/>
  <c r="L12" i="15" s="1"/>
  <c r="L17" i="15" s="1"/>
  <c r="J16" i="15"/>
  <c r="J25" i="15"/>
  <c r="J31" i="15"/>
  <c r="J15" i="28" s="1"/>
  <c r="L109" i="14"/>
  <c r="O39" i="16"/>
  <c r="O57" i="16" s="1"/>
  <c r="D57" i="16" s="1"/>
  <c r="O27" i="16"/>
  <c r="O15" i="16"/>
  <c r="O33" i="16"/>
  <c r="O56" i="16" s="1"/>
  <c r="D56" i="16" s="1"/>
  <c r="O21" i="16"/>
  <c r="N8" i="16"/>
  <c r="L154" i="14"/>
  <c r="L91" i="14"/>
  <c r="L64" i="14"/>
  <c r="L10" i="14"/>
  <c r="M98" i="14"/>
  <c r="M134" i="14"/>
  <c r="N135" i="14"/>
  <c r="M80" i="14"/>
  <c r="N81" i="14"/>
  <c r="L136" i="14"/>
  <c r="M89" i="14"/>
  <c r="N90" i="14"/>
  <c r="K28" i="14"/>
  <c r="N44" i="14"/>
  <c r="N43" i="14" s="1"/>
  <c r="M26" i="14"/>
  <c r="M34" i="14" s="1"/>
  <c r="M16" i="14" s="1"/>
  <c r="M94" i="47" s="1"/>
  <c r="N27" i="14"/>
  <c r="M62" i="14"/>
  <c r="N63" i="14"/>
  <c r="M152" i="14"/>
  <c r="N153" i="14"/>
  <c r="M125" i="14"/>
  <c r="N126" i="14"/>
  <c r="M107" i="14"/>
  <c r="M143" i="14"/>
  <c r="N144" i="14"/>
  <c r="L82" i="14"/>
  <c r="L10" i="28" l="1"/>
  <c r="L10" i="11"/>
  <c r="K66" i="41"/>
  <c r="K113" i="41" s="1"/>
  <c r="N9" i="16"/>
  <c r="J66" i="41"/>
  <c r="M9" i="16"/>
  <c r="M87" i="41"/>
  <c r="O55" i="16"/>
  <c r="D55" i="16" s="1"/>
  <c r="O36" i="18"/>
  <c r="O37" i="18" s="1"/>
  <c r="O38" i="18" s="1"/>
  <c r="M38" i="18"/>
  <c r="L86" i="41"/>
  <c r="M86" i="41" s="1"/>
  <c r="I196" i="6"/>
  <c r="F102" i="41"/>
  <c r="I185" i="47"/>
  <c r="I21" i="17"/>
  <c r="I24" i="17" s="1"/>
  <c r="I93" i="6" s="1"/>
  <c r="H27" i="31"/>
  <c r="H26" i="31" s="1"/>
  <c r="G30" i="51"/>
  <c r="H93" i="6"/>
  <c r="I183" i="47"/>
  <c r="H187" i="47"/>
  <c r="H36" i="17"/>
  <c r="H25" i="17"/>
  <c r="I34" i="17"/>
  <c r="J31" i="17" s="1"/>
  <c r="J23" i="17"/>
  <c r="J48" i="29"/>
  <c r="J47" i="29" s="1"/>
  <c r="J52" i="29" s="1"/>
  <c r="K33" i="17"/>
  <c r="J167" i="47"/>
  <c r="I18" i="14"/>
  <c r="I97" i="6" s="1"/>
  <c r="H18" i="14"/>
  <c r="K51" i="19"/>
  <c r="K50" i="19" s="1"/>
  <c r="K5" i="19"/>
  <c r="N89" i="47"/>
  <c r="N82" i="6"/>
  <c r="M89" i="47"/>
  <c r="M82" i="6"/>
  <c r="G114" i="6"/>
  <c r="H132" i="47"/>
  <c r="H113" i="6"/>
  <c r="J6" i="19"/>
  <c r="J13" i="22" s="1"/>
  <c r="J109" i="6"/>
  <c r="K127" i="47"/>
  <c r="K126" i="47" s="1"/>
  <c r="K174" i="47" s="1"/>
  <c r="K167" i="6"/>
  <c r="I55" i="11"/>
  <c r="I110" i="6"/>
  <c r="J56" i="11"/>
  <c r="J116" i="6"/>
  <c r="J118" i="6" s="1"/>
  <c r="I56" i="11"/>
  <c r="I116" i="6"/>
  <c r="I34" i="42"/>
  <c r="I28" i="42"/>
  <c r="H16" i="29"/>
  <c r="I166" i="47"/>
  <c r="I171" i="47" s="1"/>
  <c r="I205" i="47" s="1"/>
  <c r="H56" i="15"/>
  <c r="H133" i="47" s="1"/>
  <c r="I51" i="15"/>
  <c r="I16" i="10" s="1"/>
  <c r="G71" i="6"/>
  <c r="H135" i="47"/>
  <c r="N52" i="16"/>
  <c r="J14" i="15"/>
  <c r="G88" i="41" s="1"/>
  <c r="J54" i="15"/>
  <c r="J53" i="15"/>
  <c r="K8" i="10"/>
  <c r="K168" i="6" s="1"/>
  <c r="K8" i="29"/>
  <c r="K7" i="29" s="1"/>
  <c r="K55" i="29" s="1"/>
  <c r="O27" i="18"/>
  <c r="O28" i="18" s="1"/>
  <c r="O29" i="18" s="1"/>
  <c r="O54" i="16"/>
  <c r="D54" i="16" s="1"/>
  <c r="K15" i="11"/>
  <c r="K117" i="6" s="1"/>
  <c r="K99" i="47"/>
  <c r="J134" i="47"/>
  <c r="J12" i="42"/>
  <c r="J92" i="47"/>
  <c r="H13" i="10"/>
  <c r="O18" i="18"/>
  <c r="O19" i="18" s="1"/>
  <c r="O20" i="18" s="1"/>
  <c r="O53" i="16"/>
  <c r="M52" i="16"/>
  <c r="H19" i="42"/>
  <c r="J113" i="41"/>
  <c r="H13" i="29"/>
  <c r="L11" i="22"/>
  <c r="I10" i="42"/>
  <c r="I11" i="42"/>
  <c r="I13" i="22"/>
  <c r="I113" i="41"/>
  <c r="O7" i="15"/>
  <c r="I7" i="19"/>
  <c r="O12" i="17"/>
  <c r="N24" i="31"/>
  <c r="N24" i="9"/>
  <c r="J8" i="26"/>
  <c r="K7" i="26"/>
  <c r="L6" i="26" s="1"/>
  <c r="J18" i="14"/>
  <c r="K36" i="14"/>
  <c r="K38" i="15"/>
  <c r="K20" i="42" s="1"/>
  <c r="J15" i="29"/>
  <c r="J15" i="10"/>
  <c r="L12" i="16"/>
  <c r="L10" i="16"/>
  <c r="I67" i="41" s="1"/>
  <c r="J8" i="11"/>
  <c r="J8" i="28"/>
  <c r="J14" i="28"/>
  <c r="K45" i="15"/>
  <c r="K93" i="47" s="1"/>
  <c r="J7" i="29"/>
  <c r="M5" i="11"/>
  <c r="M83" i="6" s="1"/>
  <c r="M5" i="28"/>
  <c r="N5" i="11"/>
  <c r="N83" i="6" s="1"/>
  <c r="N5" i="28"/>
  <c r="L40" i="15"/>
  <c r="L46" i="15" s="1"/>
  <c r="L99" i="47" s="1"/>
  <c r="L98" i="47" s="1"/>
  <c r="L27" i="15"/>
  <c r="J42" i="15"/>
  <c r="L39" i="15"/>
  <c r="L26" i="15"/>
  <c r="N99" i="13"/>
  <c r="M42" i="19"/>
  <c r="M40" i="19" s="1"/>
  <c r="O92" i="13"/>
  <c r="N21" i="19"/>
  <c r="N19" i="19" s="1"/>
  <c r="N53" i="19" s="1"/>
  <c r="M97" i="13"/>
  <c r="L37" i="19"/>
  <c r="L35" i="19" s="1"/>
  <c r="L57" i="19" s="1"/>
  <c r="M89" i="13"/>
  <c r="M145" i="14"/>
  <c r="N91" i="13"/>
  <c r="M17" i="19"/>
  <c r="M15" i="19" s="1"/>
  <c r="M52" i="19" s="1"/>
  <c r="M88" i="13"/>
  <c r="L13" i="19"/>
  <c r="L11" i="19" s="1"/>
  <c r="M20" i="18"/>
  <c r="P91" i="7"/>
  <c r="I29" i="15"/>
  <c r="N61" i="17"/>
  <c r="O58" i="17" s="1"/>
  <c r="M62" i="17"/>
  <c r="M63" i="17" s="1"/>
  <c r="N53" i="17"/>
  <c r="N54" i="17" s="1"/>
  <c r="O52" i="17"/>
  <c r="M44" i="17"/>
  <c r="N43" i="17"/>
  <c r="O40" i="17" s="1"/>
  <c r="M45" i="14"/>
  <c r="J29" i="15"/>
  <c r="M81" i="13"/>
  <c r="M13" i="15" s="1"/>
  <c r="M18" i="15" s="1"/>
  <c r="D39" i="16"/>
  <c r="M80" i="13"/>
  <c r="M12" i="15" s="1"/>
  <c r="M17" i="15" s="1"/>
  <c r="D21" i="16"/>
  <c r="K25" i="15"/>
  <c r="K16" i="15"/>
  <c r="K30" i="15"/>
  <c r="K9" i="28" s="1"/>
  <c r="O8" i="16"/>
  <c r="D33" i="16"/>
  <c r="D27" i="16"/>
  <c r="D15" i="16"/>
  <c r="M154" i="14"/>
  <c r="M91" i="14"/>
  <c r="M64" i="14"/>
  <c r="O44" i="14"/>
  <c r="O43" i="14" s="1"/>
  <c r="M82" i="14"/>
  <c r="N89" i="14"/>
  <c r="O90" i="14"/>
  <c r="O126" i="14"/>
  <c r="N125" i="14"/>
  <c r="N134" i="14"/>
  <c r="O135" i="14"/>
  <c r="L28" i="14"/>
  <c r="N116" i="14"/>
  <c r="N143" i="14"/>
  <c r="O144" i="14"/>
  <c r="O63" i="14"/>
  <c r="N62" i="14"/>
  <c r="O153" i="14"/>
  <c r="N152" i="14"/>
  <c r="N98" i="14"/>
  <c r="M136" i="14"/>
  <c r="N107" i="14"/>
  <c r="N26" i="14"/>
  <c r="N34" i="14" s="1"/>
  <c r="N16" i="14" s="1"/>
  <c r="N94" i="47" s="1"/>
  <c r="O27" i="14"/>
  <c r="N80" i="14"/>
  <c r="O81" i="14"/>
  <c r="M10" i="14"/>
  <c r="M10" i="28" l="1"/>
  <c r="M10" i="11"/>
  <c r="L66" i="41"/>
  <c r="O9" i="16"/>
  <c r="D37" i="18"/>
  <c r="D38" i="18" s="1"/>
  <c r="D36" i="18"/>
  <c r="I118" i="6"/>
  <c r="C58" i="1"/>
  <c r="P95" i="7"/>
  <c r="H30" i="51"/>
  <c r="I35" i="17"/>
  <c r="I36" i="17" s="1"/>
  <c r="I27" i="31"/>
  <c r="I26" i="31" s="1"/>
  <c r="J21" i="17"/>
  <c r="J24" i="17" s="1"/>
  <c r="I186" i="47"/>
  <c r="I187" i="47" s="1"/>
  <c r="J196" i="6"/>
  <c r="G102" i="41"/>
  <c r="J185" i="47"/>
  <c r="I25" i="17"/>
  <c r="J34" i="17"/>
  <c r="K31" i="17" s="1"/>
  <c r="H138" i="6"/>
  <c r="H20" i="28"/>
  <c r="E103" i="41"/>
  <c r="K23" i="17"/>
  <c r="K48" i="29"/>
  <c r="L33" i="17"/>
  <c r="K167" i="47"/>
  <c r="H26" i="17"/>
  <c r="H25" i="29"/>
  <c r="H104" i="47"/>
  <c r="H188" i="47"/>
  <c r="H144" i="47" s="1"/>
  <c r="H166" i="47" s="1"/>
  <c r="H171" i="47" s="1"/>
  <c r="H205" i="47" s="1"/>
  <c r="H97" i="6"/>
  <c r="L51" i="19"/>
  <c r="L50" i="19" s="1"/>
  <c r="L5" i="19"/>
  <c r="O89" i="47"/>
  <c r="D89" i="47" s="1"/>
  <c r="O82" i="6"/>
  <c r="D82" i="6" s="1"/>
  <c r="H114" i="6"/>
  <c r="K6" i="19"/>
  <c r="K7" i="19" s="1"/>
  <c r="K109" i="6"/>
  <c r="I132" i="47"/>
  <c r="I113" i="6"/>
  <c r="L127" i="47"/>
  <c r="L126" i="47" s="1"/>
  <c r="L167" i="6"/>
  <c r="J55" i="11"/>
  <c r="J110" i="6"/>
  <c r="J97" i="6"/>
  <c r="D27" i="18"/>
  <c r="D28" i="18"/>
  <c r="I16" i="29"/>
  <c r="I135" i="47"/>
  <c r="I56" i="15"/>
  <c r="I133" i="47" s="1"/>
  <c r="H14" i="10"/>
  <c r="H71" i="6" s="1"/>
  <c r="J34" i="42"/>
  <c r="J28" i="42"/>
  <c r="H14" i="29"/>
  <c r="D18" i="18"/>
  <c r="O52" i="16"/>
  <c r="D52" i="16" s="1"/>
  <c r="J51" i="15"/>
  <c r="J16" i="29" s="1"/>
  <c r="J7" i="19"/>
  <c r="K14" i="15"/>
  <c r="H88" i="41" s="1"/>
  <c r="K54" i="15"/>
  <c r="K53" i="15"/>
  <c r="K15" i="10"/>
  <c r="K134" i="47"/>
  <c r="K12" i="42"/>
  <c r="D53" i="16"/>
  <c r="K98" i="47"/>
  <c r="K92" i="47"/>
  <c r="I13" i="10"/>
  <c r="L8" i="10"/>
  <c r="L168" i="6" s="1"/>
  <c r="D19" i="18"/>
  <c r="I19" i="42"/>
  <c r="J10" i="42"/>
  <c r="J11" i="42"/>
  <c r="N11" i="22"/>
  <c r="O5" i="28"/>
  <c r="D5" i="28" s="1"/>
  <c r="K8" i="26"/>
  <c r="I13" i="29"/>
  <c r="O24" i="31"/>
  <c r="O24" i="9"/>
  <c r="L7" i="26"/>
  <c r="M6" i="26" s="1"/>
  <c r="K18" i="14"/>
  <c r="L36" i="14"/>
  <c r="L38" i="15"/>
  <c r="L20" i="42" s="1"/>
  <c r="K15" i="29"/>
  <c r="L8" i="29"/>
  <c r="L7" i="29" s="1"/>
  <c r="L55" i="29" s="1"/>
  <c r="L15" i="11"/>
  <c r="L117" i="6" s="1"/>
  <c r="K8" i="11"/>
  <c r="K8" i="28"/>
  <c r="K9" i="11"/>
  <c r="K44" i="15"/>
  <c r="K119" i="6" s="1"/>
  <c r="L45" i="15"/>
  <c r="L93" i="47" s="1"/>
  <c r="J55" i="29"/>
  <c r="K42" i="15"/>
  <c r="M39" i="15"/>
  <c r="M45" i="15" s="1"/>
  <c r="M26" i="15"/>
  <c r="M40" i="15"/>
  <c r="M46" i="15" s="1"/>
  <c r="M99" i="47" s="1"/>
  <c r="M98" i="47" s="1"/>
  <c r="M27" i="15"/>
  <c r="N89" i="13"/>
  <c r="N145" i="14"/>
  <c r="N97" i="13"/>
  <c r="M37" i="19"/>
  <c r="M35" i="19" s="1"/>
  <c r="M57" i="19" s="1"/>
  <c r="P92" i="13"/>
  <c r="O21" i="19"/>
  <c r="O19" i="19" s="1"/>
  <c r="O53" i="19" s="1"/>
  <c r="D53" i="19" s="1"/>
  <c r="O99" i="13"/>
  <c r="N42" i="19"/>
  <c r="N40" i="19" s="1"/>
  <c r="M10" i="16"/>
  <c r="J67" i="41" s="1"/>
  <c r="M11" i="22"/>
  <c r="M12" i="16"/>
  <c r="N12" i="16" s="1"/>
  <c r="O91" i="13"/>
  <c r="N17" i="19"/>
  <c r="N15" i="19" s="1"/>
  <c r="N52" i="19" s="1"/>
  <c r="N88" i="13"/>
  <c r="M13" i="19"/>
  <c r="M11" i="19" s="1"/>
  <c r="O5" i="11"/>
  <c r="O83" i="6" s="1"/>
  <c r="D83" i="6" s="1"/>
  <c r="K29" i="15"/>
  <c r="N62" i="17"/>
  <c r="N63" i="17" s="1"/>
  <c r="O61" i="17"/>
  <c r="O53" i="17"/>
  <c r="O54" i="17" s="1"/>
  <c r="N44" i="17"/>
  <c r="N45" i="17" s="1"/>
  <c r="M45" i="17"/>
  <c r="O43" i="17"/>
  <c r="N45" i="14"/>
  <c r="N81" i="13"/>
  <c r="N13" i="15" s="1"/>
  <c r="N18" i="15" s="1"/>
  <c r="L25" i="15"/>
  <c r="L16" i="15"/>
  <c r="N80" i="13"/>
  <c r="N12" i="15" s="1"/>
  <c r="N17" i="15" s="1"/>
  <c r="L31" i="15"/>
  <c r="L15" i="28" s="1"/>
  <c r="L14" i="28" s="1"/>
  <c r="D8" i="16"/>
  <c r="N136" i="14"/>
  <c r="N10" i="16"/>
  <c r="K67" i="41" s="1"/>
  <c r="N64" i="14"/>
  <c r="N154" i="14"/>
  <c r="N91" i="14"/>
  <c r="N10" i="14"/>
  <c r="N10" i="28" s="1"/>
  <c r="O89" i="14"/>
  <c r="O80" i="14"/>
  <c r="O152" i="14"/>
  <c r="O125" i="14"/>
  <c r="O62" i="14"/>
  <c r="N82" i="14"/>
  <c r="O107" i="14"/>
  <c r="O116" i="14"/>
  <c r="O26" i="14"/>
  <c r="O34" i="14" s="1"/>
  <c r="O16" i="14" s="1"/>
  <c r="O94" i="47" s="1"/>
  <c r="O143" i="14"/>
  <c r="M28" i="14"/>
  <c r="O134" i="14"/>
  <c r="O98" i="14"/>
  <c r="J183" i="47" l="1"/>
  <c r="J186" i="47" s="1"/>
  <c r="K183" i="47" s="1"/>
  <c r="L23" i="17"/>
  <c r="L48" i="29"/>
  <c r="M33" i="17"/>
  <c r="L167" i="47"/>
  <c r="K34" i="17"/>
  <c r="L31" i="17" s="1"/>
  <c r="I104" i="47"/>
  <c r="I188" i="47"/>
  <c r="I144" i="47" s="1"/>
  <c r="I138" i="6"/>
  <c r="I20" i="28"/>
  <c r="F103" i="41"/>
  <c r="I25" i="29"/>
  <c r="I47" i="29" s="1"/>
  <c r="I52" i="29" s="1"/>
  <c r="I26" i="17"/>
  <c r="K196" i="6"/>
  <c r="K185" i="47"/>
  <c r="H102" i="41"/>
  <c r="G35" i="51"/>
  <c r="H26" i="10"/>
  <c r="J35" i="17"/>
  <c r="M51" i="19"/>
  <c r="M5" i="19"/>
  <c r="I30" i="51"/>
  <c r="J93" i="6"/>
  <c r="I114" i="6"/>
  <c r="K132" i="47"/>
  <c r="K113" i="6"/>
  <c r="L6" i="19"/>
  <c r="L109" i="6"/>
  <c r="J132" i="47"/>
  <c r="J113" i="6"/>
  <c r="M127" i="47"/>
  <c r="M126" i="47" s="1"/>
  <c r="M174" i="47" s="1"/>
  <c r="M167" i="6"/>
  <c r="N127" i="47"/>
  <c r="N126" i="47" s="1"/>
  <c r="N174" i="47" s="1"/>
  <c r="N167" i="6"/>
  <c r="K55" i="11"/>
  <c r="K110" i="6"/>
  <c r="K56" i="11"/>
  <c r="K116" i="6"/>
  <c r="K97" i="6"/>
  <c r="D29" i="18"/>
  <c r="D20" i="18"/>
  <c r="I14" i="10"/>
  <c r="I71" i="6" s="1"/>
  <c r="I14" i="29"/>
  <c r="K34" i="42"/>
  <c r="K28" i="42"/>
  <c r="K51" i="15"/>
  <c r="K16" i="29" s="1"/>
  <c r="J16" i="10"/>
  <c r="J13" i="29"/>
  <c r="J135" i="47"/>
  <c r="J56" i="15"/>
  <c r="J133" i="47" s="1"/>
  <c r="J13" i="10"/>
  <c r="L14" i="15"/>
  <c r="I88" i="41" s="1"/>
  <c r="L54" i="15"/>
  <c r="L53" i="15"/>
  <c r="K13" i="22"/>
  <c r="L8" i="28"/>
  <c r="L92" i="47"/>
  <c r="M50" i="19"/>
  <c r="M9" i="11"/>
  <c r="M93" i="47"/>
  <c r="L15" i="10"/>
  <c r="L134" i="47"/>
  <c r="L12" i="42"/>
  <c r="D94" i="47"/>
  <c r="L174" i="47"/>
  <c r="J19" i="42"/>
  <c r="O11" i="22"/>
  <c r="D11" i="22" s="1"/>
  <c r="K10" i="42"/>
  <c r="K11" i="42"/>
  <c r="L113" i="41"/>
  <c r="M113" i="41" s="1"/>
  <c r="M66" i="41"/>
  <c r="K21" i="17"/>
  <c r="J27" i="31"/>
  <c r="J26" i="31" s="1"/>
  <c r="L47" i="29"/>
  <c r="L52" i="29" s="1"/>
  <c r="M7" i="26"/>
  <c r="L8" i="26"/>
  <c r="D16" i="14"/>
  <c r="L18" i="14"/>
  <c r="M36" i="14"/>
  <c r="D34" i="14"/>
  <c r="L15" i="29"/>
  <c r="L8" i="11"/>
  <c r="M44" i="15"/>
  <c r="M119" i="6" s="1"/>
  <c r="M15" i="11"/>
  <c r="M117" i="6" s="1"/>
  <c r="L9" i="11"/>
  <c r="L44" i="15"/>
  <c r="L119" i="6" s="1"/>
  <c r="M8" i="10"/>
  <c r="M168" i="6" s="1"/>
  <c r="M8" i="29"/>
  <c r="K13" i="10"/>
  <c r="K13" i="29"/>
  <c r="N8" i="10"/>
  <c r="N168" i="6" s="1"/>
  <c r="N8" i="29"/>
  <c r="N7" i="29" s="1"/>
  <c r="M38" i="15"/>
  <c r="M20" i="42" s="1"/>
  <c r="L42" i="15"/>
  <c r="N40" i="15"/>
  <c r="N46" i="15" s="1"/>
  <c r="N99" i="47" s="1"/>
  <c r="N98" i="47" s="1"/>
  <c r="N27" i="15"/>
  <c r="N31" i="15" s="1"/>
  <c r="N15" i="28" s="1"/>
  <c r="N14" i="28" s="1"/>
  <c r="N26" i="15"/>
  <c r="N39" i="15"/>
  <c r="N45" i="15" s="1"/>
  <c r="D19" i="19"/>
  <c r="O145" i="14"/>
  <c r="P99" i="13"/>
  <c r="O42" i="19"/>
  <c r="O40" i="19" s="1"/>
  <c r="O97" i="13"/>
  <c r="N37" i="19"/>
  <c r="N35" i="19" s="1"/>
  <c r="N57" i="19" s="1"/>
  <c r="O89" i="13"/>
  <c r="P91" i="13"/>
  <c r="O17" i="19"/>
  <c r="O15" i="19" s="1"/>
  <c r="O52" i="19" s="1"/>
  <c r="O88" i="13"/>
  <c r="N13" i="19"/>
  <c r="N11" i="19" s="1"/>
  <c r="D9" i="16"/>
  <c r="O12" i="16"/>
  <c r="O10" i="16"/>
  <c r="L67" i="41" s="1"/>
  <c r="M67" i="41" s="1"/>
  <c r="O62" i="17"/>
  <c r="O63" i="17" s="1"/>
  <c r="D54" i="17"/>
  <c r="D53" i="17"/>
  <c r="O44" i="17"/>
  <c r="O45" i="17" s="1"/>
  <c r="O136" i="14"/>
  <c r="O45" i="14"/>
  <c r="O81" i="13"/>
  <c r="O13" i="15" s="1"/>
  <c r="O18" i="15" s="1"/>
  <c r="M25" i="15"/>
  <c r="M16" i="15"/>
  <c r="M30" i="15"/>
  <c r="M9" i="28" s="1"/>
  <c r="O80" i="13"/>
  <c r="O12" i="15" s="1"/>
  <c r="O17" i="15" s="1"/>
  <c r="L30" i="15"/>
  <c r="L9" i="28" s="1"/>
  <c r="M31" i="15"/>
  <c r="M15" i="28" s="1"/>
  <c r="M14" i="28" s="1"/>
  <c r="O64" i="14"/>
  <c r="O154" i="14"/>
  <c r="D107" i="14"/>
  <c r="O91" i="14"/>
  <c r="D143" i="14"/>
  <c r="O10" i="14"/>
  <c r="O10" i="28" s="1"/>
  <c r="D98" i="14"/>
  <c r="D89" i="14"/>
  <c r="D152" i="14"/>
  <c r="D43" i="14"/>
  <c r="D125" i="14"/>
  <c r="O82" i="14"/>
  <c r="D134" i="14"/>
  <c r="D116" i="14"/>
  <c r="D80" i="14"/>
  <c r="N28" i="14"/>
  <c r="D26" i="14"/>
  <c r="D62" i="14"/>
  <c r="M8" i="26" l="1"/>
  <c r="N6" i="26"/>
  <c r="K118" i="6"/>
  <c r="J187" i="47"/>
  <c r="J188" i="47" s="1"/>
  <c r="J144" i="47" s="1"/>
  <c r="J166" i="47" s="1"/>
  <c r="J171" i="47" s="1"/>
  <c r="J205" i="47" s="1"/>
  <c r="K35" i="17"/>
  <c r="H35" i="51"/>
  <c r="I26" i="10"/>
  <c r="L34" i="17"/>
  <c r="M31" i="17" s="1"/>
  <c r="J36" i="17"/>
  <c r="J25" i="17"/>
  <c r="K186" i="47"/>
  <c r="L183" i="47" s="1"/>
  <c r="M23" i="17"/>
  <c r="N33" i="17"/>
  <c r="M48" i="29"/>
  <c r="M167" i="47"/>
  <c r="L196" i="6"/>
  <c r="I102" i="41"/>
  <c r="L185" i="47"/>
  <c r="N51" i="19"/>
  <c r="N5" i="19"/>
  <c r="J114" i="6"/>
  <c r="K114" i="6"/>
  <c r="M92" i="47"/>
  <c r="M6" i="19"/>
  <c r="M109" i="6"/>
  <c r="O127" i="47"/>
  <c r="O126" i="47" s="1"/>
  <c r="O174" i="47" s="1"/>
  <c r="O167" i="6"/>
  <c r="D167" i="6" s="1"/>
  <c r="L55" i="11"/>
  <c r="L110" i="6"/>
  <c r="L56" i="11"/>
  <c r="L116" i="6"/>
  <c r="L118" i="6" s="1"/>
  <c r="M56" i="11"/>
  <c r="M116" i="6"/>
  <c r="M118" i="6" s="1"/>
  <c r="L97" i="6"/>
  <c r="K16" i="10"/>
  <c r="K135" i="47"/>
  <c r="K56" i="15"/>
  <c r="K133" i="47" s="1"/>
  <c r="L28" i="42"/>
  <c r="L34" i="42"/>
  <c r="L166" i="47"/>
  <c r="L171" i="47" s="1"/>
  <c r="L205" i="47" s="1"/>
  <c r="J14" i="10"/>
  <c r="J71" i="6" s="1"/>
  <c r="J14" i="29"/>
  <c r="L51" i="15"/>
  <c r="L56" i="15" s="1"/>
  <c r="L133" i="47" s="1"/>
  <c r="M14" i="15"/>
  <c r="J88" i="41" s="1"/>
  <c r="M54" i="15"/>
  <c r="M53" i="15"/>
  <c r="N50" i="19"/>
  <c r="M134" i="47"/>
  <c r="M12" i="42"/>
  <c r="D52" i="19"/>
  <c r="N9" i="11"/>
  <c r="N93" i="47"/>
  <c r="K19" i="42"/>
  <c r="L13" i="22"/>
  <c r="L10" i="42"/>
  <c r="L11" i="42"/>
  <c r="K24" i="17"/>
  <c r="L7" i="19"/>
  <c r="N7" i="26"/>
  <c r="O6" i="26" s="1"/>
  <c r="M18" i="14"/>
  <c r="N36" i="14"/>
  <c r="M15" i="29"/>
  <c r="M15" i="10"/>
  <c r="N44" i="15"/>
  <c r="N119" i="6" s="1"/>
  <c r="N15" i="11"/>
  <c r="N117" i="6" s="1"/>
  <c r="M8" i="11"/>
  <c r="M8" i="28"/>
  <c r="N55" i="29"/>
  <c r="O8" i="10"/>
  <c r="O168" i="6" s="1"/>
  <c r="D168" i="6" s="1"/>
  <c r="O8" i="29"/>
  <c r="O7" i="29" s="1"/>
  <c r="M7" i="29"/>
  <c r="D10" i="28"/>
  <c r="O26" i="15"/>
  <c r="O39" i="15"/>
  <c r="O45" i="15" s="1"/>
  <c r="O93" i="47" s="1"/>
  <c r="N38" i="15"/>
  <c r="N20" i="42" s="1"/>
  <c r="M42" i="15"/>
  <c r="O27" i="15"/>
  <c r="O40" i="15"/>
  <c r="O46" i="15" s="1"/>
  <c r="O99" i="47" s="1"/>
  <c r="P89" i="13"/>
  <c r="P97" i="13"/>
  <c r="O37" i="19"/>
  <c r="O35" i="19" s="1"/>
  <c r="O57" i="19" s="1"/>
  <c r="D57" i="19" s="1"/>
  <c r="D40" i="19"/>
  <c r="D15" i="19"/>
  <c r="D10" i="16"/>
  <c r="P88" i="13"/>
  <c r="O13" i="19"/>
  <c r="O11" i="19" s="1"/>
  <c r="L29" i="15"/>
  <c r="D63" i="17"/>
  <c r="D62" i="17"/>
  <c r="D45" i="17"/>
  <c r="D44" i="17"/>
  <c r="M29" i="15"/>
  <c r="N16" i="15"/>
  <c r="P80" i="13"/>
  <c r="P81" i="13"/>
  <c r="D10" i="14"/>
  <c r="O28" i="14"/>
  <c r="L35" i="17" l="1"/>
  <c r="L36" i="17" s="1"/>
  <c r="J104" i="47"/>
  <c r="K187" i="47"/>
  <c r="K188" i="47" s="1"/>
  <c r="K144" i="47" s="1"/>
  <c r="K166" i="47" s="1"/>
  <c r="K171" i="47" s="1"/>
  <c r="K205" i="47" s="1"/>
  <c r="J25" i="29"/>
  <c r="J26" i="17"/>
  <c r="N23" i="17"/>
  <c r="N48" i="29"/>
  <c r="N167" i="47"/>
  <c r="O33" i="17"/>
  <c r="D33" i="17" s="1"/>
  <c r="L25" i="17"/>
  <c r="M196" i="6"/>
  <c r="J102" i="41"/>
  <c r="M185" i="47"/>
  <c r="M34" i="17"/>
  <c r="N31" i="17" s="1"/>
  <c r="L186" i="47"/>
  <c r="M183" i="47" s="1"/>
  <c r="J20" i="28"/>
  <c r="J138" i="6"/>
  <c r="G103" i="41"/>
  <c r="K25" i="17"/>
  <c r="K36" i="17"/>
  <c r="O51" i="19"/>
  <c r="D51" i="19" s="1"/>
  <c r="O5" i="19"/>
  <c r="J30" i="51"/>
  <c r="K93" i="6"/>
  <c r="L132" i="47"/>
  <c r="L113" i="6"/>
  <c r="N6" i="19"/>
  <c r="N109" i="6"/>
  <c r="D127" i="47"/>
  <c r="D126" i="47" s="1"/>
  <c r="N56" i="11"/>
  <c r="N116" i="6"/>
  <c r="N118" i="6" s="1"/>
  <c r="M55" i="11"/>
  <c r="M110" i="6"/>
  <c r="M97" i="6"/>
  <c r="K14" i="29"/>
  <c r="K14" i="10"/>
  <c r="M34" i="42"/>
  <c r="M28" i="42"/>
  <c r="L135" i="47"/>
  <c r="L16" i="29"/>
  <c r="M51" i="15"/>
  <c r="M56" i="15" s="1"/>
  <c r="M133" i="47" s="1"/>
  <c r="L16" i="10"/>
  <c r="N14" i="15"/>
  <c r="K88" i="41" s="1"/>
  <c r="N54" i="15"/>
  <c r="N53" i="15"/>
  <c r="O98" i="47"/>
  <c r="D98" i="47" s="1"/>
  <c r="D99" i="47"/>
  <c r="N134" i="47"/>
  <c r="N12" i="42"/>
  <c r="D93" i="47"/>
  <c r="N8" i="28"/>
  <c r="N92" i="47"/>
  <c r="L13" i="10"/>
  <c r="L14" i="10"/>
  <c r="L19" i="42"/>
  <c r="M11" i="42"/>
  <c r="M10" i="42"/>
  <c r="M7" i="19"/>
  <c r="M113" i="6" s="1"/>
  <c r="L14" i="29"/>
  <c r="L13" i="29"/>
  <c r="L21" i="17"/>
  <c r="K27" i="31"/>
  <c r="K26" i="31" s="1"/>
  <c r="N8" i="26"/>
  <c r="O7" i="26"/>
  <c r="N18" i="14"/>
  <c r="O36" i="14"/>
  <c r="N15" i="10"/>
  <c r="N8" i="11"/>
  <c r="O44" i="15"/>
  <c r="O119" i="6" s="1"/>
  <c r="D119" i="6" s="1"/>
  <c r="O9" i="11"/>
  <c r="O15" i="11"/>
  <c r="O117" i="6" s="1"/>
  <c r="D117" i="6" s="1"/>
  <c r="O55" i="29"/>
  <c r="M55" i="29"/>
  <c r="D8" i="29"/>
  <c r="D7" i="29" s="1"/>
  <c r="M13" i="22"/>
  <c r="D27" i="15"/>
  <c r="D40" i="15"/>
  <c r="O38" i="15"/>
  <c r="O20" i="42" s="1"/>
  <c r="D20" i="42" s="1"/>
  <c r="C116" i="1" s="1"/>
  <c r="D35" i="19"/>
  <c r="D11" i="19"/>
  <c r="O31" i="15"/>
  <c r="O15" i="28" s="1"/>
  <c r="O14" i="28" s="1"/>
  <c r="D18" i="15"/>
  <c r="O25" i="15"/>
  <c r="O16" i="15"/>
  <c r="O30" i="15"/>
  <c r="O9" i="28" s="1"/>
  <c r="D17" i="15"/>
  <c r="N30" i="15"/>
  <c r="N9" i="28" s="1"/>
  <c r="N25" i="15"/>
  <c r="O50" i="19" l="1"/>
  <c r="D50" i="19" s="1"/>
  <c r="M35" i="17"/>
  <c r="M25" i="17" s="1"/>
  <c r="K104" i="47"/>
  <c r="L187" i="47"/>
  <c r="L188" i="47" s="1"/>
  <c r="L144" i="47" s="1"/>
  <c r="K26" i="17"/>
  <c r="K25" i="29"/>
  <c r="K138" i="6"/>
  <c r="H103" i="41"/>
  <c r="K20" i="28"/>
  <c r="O23" i="17"/>
  <c r="D23" i="17" s="1"/>
  <c r="O48" i="29"/>
  <c r="D48" i="29" s="1"/>
  <c r="O167" i="47"/>
  <c r="D167" i="47" s="1"/>
  <c r="N34" i="17"/>
  <c r="O31" i="17" s="1"/>
  <c r="N196" i="6"/>
  <c r="K102" i="41"/>
  <c r="N185" i="47"/>
  <c r="L138" i="6"/>
  <c r="I103" i="41"/>
  <c r="L20" i="28"/>
  <c r="J26" i="10"/>
  <c r="I35" i="51"/>
  <c r="M186" i="47"/>
  <c r="N183" i="47" s="1"/>
  <c r="L26" i="17"/>
  <c r="L25" i="29"/>
  <c r="L114" i="6"/>
  <c r="K71" i="6"/>
  <c r="O92" i="47"/>
  <c r="O6" i="19"/>
  <c r="O109" i="6"/>
  <c r="D109" i="6" s="1"/>
  <c r="N55" i="11"/>
  <c r="N110" i="6"/>
  <c r="O56" i="11"/>
  <c r="D56" i="11" s="1"/>
  <c r="O116" i="6"/>
  <c r="N97" i="6"/>
  <c r="E20" i="42"/>
  <c r="A20" i="42"/>
  <c r="M16" i="29"/>
  <c r="M16" i="10"/>
  <c r="N51" i="15"/>
  <c r="N16" i="10" s="1"/>
  <c r="L71" i="6"/>
  <c r="M135" i="47"/>
  <c r="O14" i="15"/>
  <c r="L88" i="41" s="1"/>
  <c r="O53" i="15"/>
  <c r="O54" i="15"/>
  <c r="O134" i="47"/>
  <c r="D134" i="47" s="1"/>
  <c r="O12" i="42"/>
  <c r="M13" i="29"/>
  <c r="M132" i="47"/>
  <c r="M14" i="10"/>
  <c r="M13" i="10"/>
  <c r="M19" i="42"/>
  <c r="N13" i="22"/>
  <c r="N11" i="42"/>
  <c r="N10" i="42"/>
  <c r="M14" i="29"/>
  <c r="L24" i="17"/>
  <c r="O8" i="26"/>
  <c r="O18" i="14"/>
  <c r="N7" i="19"/>
  <c r="N15" i="29"/>
  <c r="O15" i="29"/>
  <c r="O15" i="10"/>
  <c r="D45" i="15"/>
  <c r="O8" i="11"/>
  <c r="O8" i="28"/>
  <c r="N42" i="15"/>
  <c r="O42" i="15"/>
  <c r="D39" i="15"/>
  <c r="D5" i="19"/>
  <c r="O29" i="15"/>
  <c r="D16" i="15"/>
  <c r="N29" i="15"/>
  <c r="D9" i="28"/>
  <c r="D26" i="15"/>
  <c r="M36" i="17" l="1"/>
  <c r="O118" i="6"/>
  <c r="D118" i="6" s="1"/>
  <c r="D116" i="6"/>
  <c r="L104" i="47"/>
  <c r="N35" i="17"/>
  <c r="N186" i="47"/>
  <c r="O183" i="47" s="1"/>
  <c r="N25" i="17"/>
  <c r="N36" i="17"/>
  <c r="L26" i="10"/>
  <c r="K35" i="51"/>
  <c r="O34" i="17"/>
  <c r="O35" i="17" s="1"/>
  <c r="M20" i="28"/>
  <c r="M138" i="6"/>
  <c r="J103" i="41"/>
  <c r="M25" i="29"/>
  <c r="M47" i="29" s="1"/>
  <c r="M52" i="29" s="1"/>
  <c r="M26" i="17"/>
  <c r="M187" i="47"/>
  <c r="K47" i="29"/>
  <c r="K52" i="29" s="1"/>
  <c r="O196" i="6"/>
  <c r="D196" i="6" s="1"/>
  <c r="L102" i="41"/>
  <c r="M102" i="41" s="1"/>
  <c r="O185" i="47"/>
  <c r="D185" i="47" s="1"/>
  <c r="J35" i="51"/>
  <c r="K26" i="10"/>
  <c r="K30" i="51"/>
  <c r="L93" i="6"/>
  <c r="D92" i="47"/>
  <c r="M114" i="6"/>
  <c r="N132" i="47"/>
  <c r="N113" i="6"/>
  <c r="O55" i="11"/>
  <c r="D55" i="11" s="1"/>
  <c r="O110" i="6"/>
  <c r="D110" i="6" s="1"/>
  <c r="O97" i="6"/>
  <c r="N135" i="47"/>
  <c r="N16" i="29"/>
  <c r="M71" i="6"/>
  <c r="N56" i="15"/>
  <c r="N133" i="47" s="1"/>
  <c r="O34" i="42"/>
  <c r="O28" i="42"/>
  <c r="N28" i="42"/>
  <c r="N34" i="42"/>
  <c r="D12" i="42"/>
  <c r="C80" i="41" s="1"/>
  <c r="O51" i="15"/>
  <c r="O56" i="15" s="1"/>
  <c r="O133" i="47" s="1"/>
  <c r="N13" i="29"/>
  <c r="N19" i="42"/>
  <c r="O7" i="19"/>
  <c r="M21" i="17"/>
  <c r="L27" i="31"/>
  <c r="L26" i="31" s="1"/>
  <c r="N13" i="10"/>
  <c r="D8" i="11"/>
  <c r="D8" i="28"/>
  <c r="D38" i="15"/>
  <c r="D46" i="15"/>
  <c r="D14" i="28"/>
  <c r="D15" i="28"/>
  <c r="D42" i="15"/>
  <c r="D15" i="29"/>
  <c r="D44" i="15"/>
  <c r="O13" i="22"/>
  <c r="D13" i="22" s="1"/>
  <c r="D6" i="19"/>
  <c r="D31" i="15"/>
  <c r="D25" i="15"/>
  <c r="D29" i="15"/>
  <c r="D30" i="15"/>
  <c r="D35" i="17" l="1"/>
  <c r="N187" i="47"/>
  <c r="N104" i="47" s="1"/>
  <c r="L35" i="51"/>
  <c r="M26" i="10"/>
  <c r="N26" i="17"/>
  <c r="N25" i="29"/>
  <c r="N47" i="29" s="1"/>
  <c r="N52" i="29" s="1"/>
  <c r="N138" i="6"/>
  <c r="K103" i="41"/>
  <c r="N20" i="28"/>
  <c r="O186" i="47"/>
  <c r="O187" i="47" s="1"/>
  <c r="O36" i="17"/>
  <c r="O25" i="17"/>
  <c r="M188" i="47"/>
  <c r="M104" i="47"/>
  <c r="N114" i="6"/>
  <c r="O132" i="47"/>
  <c r="O113" i="6"/>
  <c r="D113" i="6" s="1"/>
  <c r="N14" i="29"/>
  <c r="N14" i="10"/>
  <c r="N71" i="6" s="1"/>
  <c r="D34" i="42"/>
  <c r="D80" i="41" s="1"/>
  <c r="D28" i="42"/>
  <c r="D133" i="47"/>
  <c r="O16" i="29"/>
  <c r="D16" i="29" s="1"/>
  <c r="D51" i="15"/>
  <c r="A51" i="15" s="1"/>
  <c r="O135" i="47"/>
  <c r="D135" i="47" s="1"/>
  <c r="O16" i="10"/>
  <c r="O13" i="29"/>
  <c r="D53" i="15"/>
  <c r="A53" i="15" s="1"/>
  <c r="O10" i="42"/>
  <c r="D54" i="15"/>
  <c r="A54" i="15" s="1"/>
  <c r="O11" i="42"/>
  <c r="O13" i="10"/>
  <c r="M24" i="17"/>
  <c r="O14" i="10"/>
  <c r="O14" i="29"/>
  <c r="D7" i="19"/>
  <c r="D56" i="15"/>
  <c r="N188" i="47" l="1"/>
  <c r="N144" i="47" s="1"/>
  <c r="N166" i="47" s="1"/>
  <c r="N171" i="47" s="1"/>
  <c r="N205" i="47" s="1"/>
  <c r="O138" i="6"/>
  <c r="D138" i="6" s="1"/>
  <c r="L103" i="41"/>
  <c r="M103" i="41" s="1"/>
  <c r="O20" i="28"/>
  <c r="D20" i="28" s="1"/>
  <c r="O104" i="47"/>
  <c r="D104" i="47" s="1"/>
  <c r="O188" i="47"/>
  <c r="O144" i="47" s="1"/>
  <c r="O166" i="47" s="1"/>
  <c r="O171" i="47" s="1"/>
  <c r="O205" i="47" s="1"/>
  <c r="N26" i="10"/>
  <c r="M35" i="51"/>
  <c r="D25" i="17"/>
  <c r="O25" i="29"/>
  <c r="O47" i="29" s="1"/>
  <c r="O52" i="29" s="1"/>
  <c r="O26" i="17"/>
  <c r="D36" i="17"/>
  <c r="D187" i="47"/>
  <c r="D25" i="29"/>
  <c r="D47" i="29" s="1"/>
  <c r="D52" i="29" s="1"/>
  <c r="M144" i="47"/>
  <c r="A28" i="42"/>
  <c r="C119" i="1"/>
  <c r="L30" i="51"/>
  <c r="M93" i="6"/>
  <c r="D14" i="29"/>
  <c r="D132" i="47"/>
  <c r="D13" i="10"/>
  <c r="O114" i="6"/>
  <c r="D114" i="6" s="1"/>
  <c r="O71" i="6"/>
  <c r="D71" i="6" s="1"/>
  <c r="O19" i="42"/>
  <c r="D11" i="42"/>
  <c r="D10" i="42"/>
  <c r="N21" i="17"/>
  <c r="M27" i="31"/>
  <c r="M26" i="31" s="1"/>
  <c r="D13" i="29"/>
  <c r="G3" i="13"/>
  <c r="H3" i="13" s="1"/>
  <c r="I3" i="13" s="1"/>
  <c r="J3" i="13" s="1"/>
  <c r="K3" i="13" s="1"/>
  <c r="L3" i="13" s="1"/>
  <c r="M3" i="13" s="1"/>
  <c r="N3" i="13" s="1"/>
  <c r="O3" i="13" s="1"/>
  <c r="P3" i="13" s="1"/>
  <c r="U3" i="13" s="1"/>
  <c r="V3" i="13" s="1"/>
  <c r="W3" i="13" s="1"/>
  <c r="X3" i="13" s="1"/>
  <c r="Y3" i="13" s="1"/>
  <c r="Z3" i="13" s="1"/>
  <c r="AA3" i="13" s="1"/>
  <c r="AB3" i="13" s="1"/>
  <c r="AC3" i="13" s="1"/>
  <c r="U2" i="13"/>
  <c r="V2" i="13" s="1"/>
  <c r="W2" i="13" s="1"/>
  <c r="X2" i="13" s="1"/>
  <c r="Y2" i="13" s="1"/>
  <c r="Z2" i="13" s="1"/>
  <c r="AA2" i="13" s="1"/>
  <c r="AB2" i="13" s="1"/>
  <c r="AC2" i="13" s="1"/>
  <c r="A2" i="13"/>
  <c r="D188" i="47" l="1"/>
  <c r="M166" i="47"/>
  <c r="M171" i="47" s="1"/>
  <c r="M205" i="47" s="1"/>
  <c r="D205" i="47" s="1"/>
  <c r="D144" i="47"/>
  <c r="D166" i="47" s="1"/>
  <c r="D171" i="47" s="1"/>
  <c r="O26" i="10"/>
  <c r="N35" i="51"/>
  <c r="B34" i="51" s="1"/>
  <c r="C17" i="51" s="1"/>
  <c r="D26" i="17"/>
  <c r="C72" i="41"/>
  <c r="D19" i="42"/>
  <c r="N24" i="17"/>
  <c r="D3" i="13"/>
  <c r="U2" i="7"/>
  <c r="V2" i="7" s="1"/>
  <c r="W2" i="7" s="1"/>
  <c r="X2" i="7" s="1"/>
  <c r="Y2" i="7" s="1"/>
  <c r="Z2" i="7" s="1"/>
  <c r="AA2" i="7" s="1"/>
  <c r="AB2" i="7" s="1"/>
  <c r="AC2" i="7" s="1"/>
  <c r="T2" i="12"/>
  <c r="U2" i="12" s="1"/>
  <c r="V2" i="12" s="1"/>
  <c r="W2" i="12" s="1"/>
  <c r="X2" i="12" s="1"/>
  <c r="Y2" i="12" s="1"/>
  <c r="Z2" i="12" s="1"/>
  <c r="AA2" i="12" s="1"/>
  <c r="T2" i="9"/>
  <c r="U2" i="9" s="1"/>
  <c r="V2" i="9" s="1"/>
  <c r="W2" i="9" s="1"/>
  <c r="X2" i="9" s="1"/>
  <c r="Y2" i="9" s="1"/>
  <c r="Z2" i="9" s="1"/>
  <c r="AA2" i="9" s="1"/>
  <c r="T2" i="10"/>
  <c r="U2" i="10" s="1"/>
  <c r="V2" i="10" s="1"/>
  <c r="W2" i="10" s="1"/>
  <c r="X2" i="10" s="1"/>
  <c r="Y2" i="10" s="1"/>
  <c r="Z2" i="10" s="1"/>
  <c r="AA2" i="10" s="1"/>
  <c r="T2" i="11"/>
  <c r="U2" i="11" s="1"/>
  <c r="V2" i="11" s="1"/>
  <c r="W2" i="11" s="1"/>
  <c r="X2" i="11" s="1"/>
  <c r="Y2" i="11" s="1"/>
  <c r="Z2" i="11" s="1"/>
  <c r="AA2" i="11" s="1"/>
  <c r="S2" i="5"/>
  <c r="T2" i="5" s="1"/>
  <c r="U2" i="5" s="1"/>
  <c r="V2" i="5" s="1"/>
  <c r="W2" i="5" s="1"/>
  <c r="X2" i="5" s="1"/>
  <c r="Y2" i="5" s="1"/>
  <c r="Z2" i="5" s="1"/>
  <c r="AA2" i="5" s="1"/>
  <c r="A19" i="42" l="1"/>
  <c r="M30" i="51"/>
  <c r="N93" i="6"/>
  <c r="E19" i="42"/>
  <c r="C79" i="41"/>
  <c r="C62" i="1" s="1"/>
  <c r="O21" i="17"/>
  <c r="N27" i="31"/>
  <c r="N26" i="31" s="1"/>
  <c r="O24" i="17" l="1"/>
  <c r="N30" i="51" l="1"/>
  <c r="B29" i="51" s="1"/>
  <c r="C15" i="51" s="1"/>
  <c r="C19" i="51" s="1"/>
  <c r="O93" i="6"/>
  <c r="D93" i="6" s="1"/>
  <c r="O27" i="31"/>
  <c r="O26" i="31" s="1"/>
  <c r="B40" i="51" l="1"/>
  <c r="F17" i="13"/>
  <c r="G17" i="13" s="1"/>
  <c r="H17" i="13" s="1"/>
  <c r="I17" i="13" s="1"/>
  <c r="J17" i="13" s="1"/>
  <c r="K17" i="13" s="1"/>
  <c r="L17" i="13" s="1"/>
  <c r="M17" i="13" s="1"/>
  <c r="N17" i="13" s="1"/>
  <c r="O17" i="13" s="1"/>
  <c r="P17" i="13" s="1"/>
  <c r="G3" i="12"/>
  <c r="H3" i="12" s="1"/>
  <c r="I3" i="12" s="1"/>
  <c r="J3" i="12" s="1"/>
  <c r="K3" i="12" s="1"/>
  <c r="L3" i="12" s="1"/>
  <c r="M3" i="12" s="1"/>
  <c r="N3" i="12" s="1"/>
  <c r="O3" i="12" s="1"/>
  <c r="D3" i="12" s="1"/>
  <c r="A2" i="12"/>
  <c r="D11" i="12" l="1"/>
  <c r="B6" i="12" s="1"/>
  <c r="P8" i="47"/>
  <c r="Q8" i="47" s="1"/>
  <c r="D11" i="32"/>
  <c r="B6" i="32" s="1"/>
  <c r="T3" i="12"/>
  <c r="U3" i="12" s="1"/>
  <c r="V3" i="12" s="1"/>
  <c r="W3" i="12" s="1"/>
  <c r="X3" i="12" s="1"/>
  <c r="Y3" i="12" s="1"/>
  <c r="Z3" i="12" s="1"/>
  <c r="AA3" i="12" s="1"/>
  <c r="B10" i="12" l="1"/>
  <c r="B10" i="32"/>
  <c r="C10" i="41"/>
  <c r="F140" i="6"/>
  <c r="H49" i="10"/>
  <c r="H197" i="6" s="1"/>
  <c r="G49" i="10"/>
  <c r="G197" i="6" s="1"/>
  <c r="F49" i="10"/>
  <c r="F197" i="6" s="1"/>
  <c r="A67" i="6" a="1"/>
  <c r="F48" i="10" l="1"/>
  <c r="A67" i="6"/>
  <c r="F20" i="11"/>
  <c r="F139" i="6" l="1"/>
  <c r="F27" i="9"/>
  <c r="F94" i="6" l="1"/>
  <c r="G20" i="11"/>
  <c r="G27" i="9"/>
  <c r="I49" i="10"/>
  <c r="I197" i="6" s="1"/>
  <c r="G139" i="6" l="1"/>
  <c r="G94" i="6"/>
  <c r="H20" i="11"/>
  <c r="H27" i="9"/>
  <c r="J49" i="10"/>
  <c r="J197" i="6" s="1"/>
  <c r="H139" i="6" l="1"/>
  <c r="H94" i="6"/>
  <c r="G48" i="10"/>
  <c r="G140" i="6"/>
  <c r="H48" i="10"/>
  <c r="H140" i="6"/>
  <c r="I27" i="9"/>
  <c r="I20" i="11"/>
  <c r="K49" i="10"/>
  <c r="K197" i="6" s="1"/>
  <c r="I94" i="6" l="1"/>
  <c r="I139" i="6"/>
  <c r="J20" i="11"/>
  <c r="J27" i="9"/>
  <c r="L49" i="10"/>
  <c r="L197" i="6" s="1"/>
  <c r="J94" i="6" l="1"/>
  <c r="J139" i="6"/>
  <c r="I48" i="10"/>
  <c r="I140" i="6"/>
  <c r="K20" i="11"/>
  <c r="K27" i="9"/>
  <c r="M49" i="10"/>
  <c r="M197" i="6" s="1"/>
  <c r="K139" i="6" l="1"/>
  <c r="K94" i="6"/>
  <c r="J48" i="10"/>
  <c r="J140" i="6"/>
  <c r="K48" i="10"/>
  <c r="K140" i="6"/>
  <c r="L20" i="11"/>
  <c r="L27" i="9"/>
  <c r="N49" i="10"/>
  <c r="N197" i="6" s="1"/>
  <c r="L94" i="6" l="1"/>
  <c r="L139" i="6"/>
  <c r="M20" i="11"/>
  <c r="M27" i="9"/>
  <c r="O49" i="10"/>
  <c r="O197" i="6" s="1"/>
  <c r="D197" i="6" s="1"/>
  <c r="M94" i="6" l="1"/>
  <c r="M139" i="6"/>
  <c r="L48" i="10"/>
  <c r="L140" i="6"/>
  <c r="N20" i="11"/>
  <c r="N27" i="9"/>
  <c r="N94" i="6" l="1"/>
  <c r="N139" i="6"/>
  <c r="M48" i="10"/>
  <c r="M140" i="6"/>
  <c r="O20" i="11"/>
  <c r="O27" i="9"/>
  <c r="O139" i="6" l="1"/>
  <c r="D139" i="6" s="1"/>
  <c r="O94" i="6"/>
  <c r="D94" i="6" s="1"/>
  <c r="N48" i="10"/>
  <c r="N140" i="6"/>
  <c r="O48" i="10" l="1"/>
  <c r="O140" i="6"/>
  <c r="D140" i="6" s="1"/>
  <c r="D16" i="11"/>
  <c r="B52" i="2" a="1"/>
  <c r="A19" i="9" a="1"/>
  <c r="B54" i="2" a="1"/>
  <c r="A25" i="9" a="1"/>
  <c r="F57" i="11" l="1"/>
  <c r="G57" i="11"/>
  <c r="B52" i="2"/>
  <c r="B54" i="2"/>
  <c r="A25" i="9"/>
  <c r="A19" i="9"/>
  <c r="J33" i="10" l="1"/>
  <c r="J181" i="6" s="1"/>
  <c r="O33" i="10"/>
  <c r="O181" i="6" s="1"/>
  <c r="L33" i="10"/>
  <c r="L181" i="6" s="1"/>
  <c r="I33" i="10"/>
  <c r="I181" i="6" s="1"/>
  <c r="K33" i="10"/>
  <c r="K181" i="6" s="1"/>
  <c r="H33" i="10"/>
  <c r="H181" i="6" s="1"/>
  <c r="G33" i="10"/>
  <c r="G181" i="6" s="1"/>
  <c r="M33" i="10"/>
  <c r="M181" i="6" s="1"/>
  <c r="N33" i="10"/>
  <c r="N181" i="6" s="1"/>
  <c r="F14" i="11"/>
  <c r="J14" i="11" l="1"/>
  <c r="H14" i="11"/>
  <c r="G14" i="11"/>
  <c r="I57" i="11" l="1"/>
  <c r="K14" i="11"/>
  <c r="K57" i="11" l="1"/>
  <c r="H57" i="11"/>
  <c r="J57" i="11"/>
  <c r="I14" i="11"/>
  <c r="L57" i="11" l="1"/>
  <c r="M57" i="11" l="1"/>
  <c r="L14" i="11"/>
  <c r="M14" i="11"/>
  <c r="N57" i="11" l="1"/>
  <c r="N14" i="11"/>
  <c r="O57" i="11" l="1"/>
  <c r="O14" i="11"/>
  <c r="D14" i="11" l="1"/>
  <c r="D15" i="11"/>
  <c r="D57" i="11" l="1"/>
  <c r="G3" i="6"/>
  <c r="H3" i="6" s="1"/>
  <c r="I3" i="6" s="1"/>
  <c r="J3" i="6" s="1"/>
  <c r="K3" i="6" s="1"/>
  <c r="L3" i="6" s="1"/>
  <c r="M3" i="6" s="1"/>
  <c r="N3" i="6" s="1"/>
  <c r="O3" i="6" s="1"/>
  <c r="D3" i="6" s="1"/>
  <c r="G3" i="7"/>
  <c r="H3" i="7" s="1"/>
  <c r="I3" i="7" s="1"/>
  <c r="J3" i="7" s="1"/>
  <c r="K3" i="7" s="1"/>
  <c r="L3" i="7" s="1"/>
  <c r="M3" i="7" s="1"/>
  <c r="N3" i="7" s="1"/>
  <c r="O3" i="7" s="1"/>
  <c r="P3" i="7" s="1"/>
  <c r="G3" i="11"/>
  <c r="H3" i="11" s="1"/>
  <c r="I3" i="11" s="1"/>
  <c r="J3" i="11" s="1"/>
  <c r="K3" i="11" s="1"/>
  <c r="L3" i="11" s="1"/>
  <c r="M3" i="11" s="1"/>
  <c r="N3" i="11" s="1"/>
  <c r="O3" i="11" s="1"/>
  <c r="D3" i="11" s="1"/>
  <c r="G3" i="10"/>
  <c r="H3" i="10" s="1"/>
  <c r="I3" i="10" s="1"/>
  <c r="J3" i="10" s="1"/>
  <c r="K3" i="10" s="1"/>
  <c r="L3" i="10" s="1"/>
  <c r="M3" i="10" s="1"/>
  <c r="N3" i="10" s="1"/>
  <c r="O3" i="10" s="1"/>
  <c r="D3" i="10" s="1"/>
  <c r="G3" i="9"/>
  <c r="H3" i="9" s="1"/>
  <c r="I3" i="9" s="1"/>
  <c r="J3" i="9" s="1"/>
  <c r="K3" i="9" s="1"/>
  <c r="L3" i="9" s="1"/>
  <c r="M3" i="9" s="1"/>
  <c r="N3" i="9" s="1"/>
  <c r="O3" i="9" s="1"/>
  <c r="T3" i="9" s="1"/>
  <c r="U3" i="9" s="1"/>
  <c r="V3" i="9" s="1"/>
  <c r="W3" i="9" s="1"/>
  <c r="X3" i="9" s="1"/>
  <c r="Y3" i="9" s="1"/>
  <c r="Z3" i="9" s="1"/>
  <c r="AA3" i="9" s="1"/>
  <c r="G3" i="5"/>
  <c r="H3" i="5" s="1"/>
  <c r="I3" i="5" s="1"/>
  <c r="J3" i="5" s="1"/>
  <c r="K3" i="5" s="1"/>
  <c r="L3" i="5" s="1"/>
  <c r="M3" i="5" s="1"/>
  <c r="N3" i="5" s="1"/>
  <c r="O3" i="5" s="1"/>
  <c r="D22" i="11"/>
  <c r="D21" i="11"/>
  <c r="D20" i="11"/>
  <c r="D19" i="11"/>
  <c r="R3" i="5" l="1"/>
  <c r="S3" i="5" s="1"/>
  <c r="T3" i="5" s="1"/>
  <c r="U3" i="5" s="1"/>
  <c r="V3" i="5" s="1"/>
  <c r="W3" i="5" s="1"/>
  <c r="X3" i="5" s="1"/>
  <c r="Y3" i="5" s="1"/>
  <c r="Z3" i="5" s="1"/>
  <c r="AA3" i="5" s="1"/>
  <c r="D3" i="5"/>
  <c r="T3" i="10"/>
  <c r="U3" i="10" s="1"/>
  <c r="V3" i="10" s="1"/>
  <c r="W3" i="10" s="1"/>
  <c r="X3" i="10" s="1"/>
  <c r="Y3" i="10" s="1"/>
  <c r="Z3" i="10" s="1"/>
  <c r="AA3" i="10" s="1"/>
  <c r="D3" i="7"/>
  <c r="U3" i="7"/>
  <c r="V3" i="7" s="1"/>
  <c r="W3" i="7" s="1"/>
  <c r="X3" i="7" s="1"/>
  <c r="Y3" i="7" s="1"/>
  <c r="Z3" i="7" s="1"/>
  <c r="AA3" i="7" s="1"/>
  <c r="AB3" i="7" s="1"/>
  <c r="AC3" i="7" s="1"/>
  <c r="T3" i="11"/>
  <c r="U3" i="11" s="1"/>
  <c r="V3" i="11" s="1"/>
  <c r="W3" i="11" s="1"/>
  <c r="X3" i="11" s="1"/>
  <c r="Y3" i="11" s="1"/>
  <c r="Z3" i="11" s="1"/>
  <c r="AA3" i="11" s="1"/>
  <c r="D10" i="11"/>
  <c r="G13" i="26" l="1"/>
  <c r="G19" i="26"/>
  <c r="G157" i="6" s="1"/>
  <c r="G108" i="47" l="1"/>
  <c r="G140" i="47"/>
  <c r="G9" i="42"/>
  <c r="G21" i="26"/>
  <c r="G27" i="42" s="1"/>
  <c r="G24" i="28"/>
  <c r="G21" i="29"/>
  <c r="G21" i="10"/>
  <c r="G24" i="11"/>
  <c r="I19" i="26"/>
  <c r="I157" i="6" s="1"/>
  <c r="I13" i="26"/>
  <c r="J19" i="26"/>
  <c r="J157" i="6" s="1"/>
  <c r="J13" i="26"/>
  <c r="H13" i="26"/>
  <c r="H19" i="26"/>
  <c r="H157" i="6" s="1"/>
  <c r="A2" i="11"/>
  <c r="O42" i="10"/>
  <c r="N42" i="10"/>
  <c r="M42" i="10"/>
  <c r="L42" i="10"/>
  <c r="K42" i="10"/>
  <c r="J42" i="10"/>
  <c r="I42" i="10"/>
  <c r="H42" i="10"/>
  <c r="G42" i="10"/>
  <c r="D49" i="10"/>
  <c r="D51" i="10"/>
  <c r="D26" i="10"/>
  <c r="F42" i="10"/>
  <c r="D45" i="10"/>
  <c r="D44" i="10"/>
  <c r="D43" i="10"/>
  <c r="O35" i="10"/>
  <c r="N35" i="10"/>
  <c r="M35" i="10"/>
  <c r="L35" i="10"/>
  <c r="K35" i="10"/>
  <c r="J35" i="10"/>
  <c r="I35" i="10"/>
  <c r="H35" i="10"/>
  <c r="G35" i="10"/>
  <c r="O31" i="10"/>
  <c r="N31" i="10"/>
  <c r="M31" i="10"/>
  <c r="L31" i="10"/>
  <c r="K31" i="10"/>
  <c r="J31" i="10"/>
  <c r="I31" i="10"/>
  <c r="H31" i="10"/>
  <c r="G31" i="10"/>
  <c r="D37" i="10"/>
  <c r="D32" i="10"/>
  <c r="D25" i="10"/>
  <c r="D23" i="10"/>
  <c r="D18" i="10"/>
  <c r="D16" i="10"/>
  <c r="D15" i="10"/>
  <c r="D14" i="10"/>
  <c r="D9" i="10"/>
  <c r="D8" i="10"/>
  <c r="O7" i="10"/>
  <c r="N7" i="10"/>
  <c r="M7" i="10"/>
  <c r="L7" i="10"/>
  <c r="K7" i="10"/>
  <c r="J7" i="10"/>
  <c r="I7" i="10"/>
  <c r="H7" i="10"/>
  <c r="G7" i="10"/>
  <c r="F7" i="10"/>
  <c r="G159" i="6" l="1"/>
  <c r="G158" i="6"/>
  <c r="H108" i="47"/>
  <c r="H140" i="47"/>
  <c r="J108" i="47"/>
  <c r="J140" i="47"/>
  <c r="I108" i="47"/>
  <c r="I140" i="47"/>
  <c r="H9" i="42"/>
  <c r="J9" i="42"/>
  <c r="I9" i="42"/>
  <c r="H21" i="10"/>
  <c r="H24" i="11"/>
  <c r="J21" i="10"/>
  <c r="J24" i="11"/>
  <c r="H24" i="28"/>
  <c r="H21" i="29"/>
  <c r="I21" i="26"/>
  <c r="I27" i="42" s="1"/>
  <c r="I24" i="28"/>
  <c r="I21" i="29"/>
  <c r="I21" i="10"/>
  <c r="I24" i="11"/>
  <c r="J21" i="26"/>
  <c r="J27" i="42" s="1"/>
  <c r="J24" i="28"/>
  <c r="J21" i="29"/>
  <c r="H21" i="26"/>
  <c r="H27" i="42" s="1"/>
  <c r="K19" i="26"/>
  <c r="K157" i="6" s="1"/>
  <c r="K13" i="26"/>
  <c r="D48" i="10"/>
  <c r="H56" i="10"/>
  <c r="G53" i="10"/>
  <c r="G206" i="47" s="1"/>
  <c r="G207" i="47" s="1"/>
  <c r="I56" i="10"/>
  <c r="L56" i="10"/>
  <c r="O56" i="10"/>
  <c r="K56" i="10"/>
  <c r="J56" i="10"/>
  <c r="M56" i="10"/>
  <c r="F53" i="10"/>
  <c r="F206" i="47" s="1"/>
  <c r="H53" i="10"/>
  <c r="H206" i="47" s="1"/>
  <c r="H207" i="47" s="1"/>
  <c r="N56" i="10"/>
  <c r="M53" i="10"/>
  <c r="M206" i="47" s="1"/>
  <c r="M207" i="47" s="1"/>
  <c r="N53" i="10"/>
  <c r="N206" i="47" s="1"/>
  <c r="N207" i="47" s="1"/>
  <c r="G56" i="10"/>
  <c r="I53" i="10"/>
  <c r="I206" i="47" s="1"/>
  <c r="I207" i="47" s="1"/>
  <c r="D42" i="10"/>
  <c r="G39" i="10"/>
  <c r="G202" i="47" s="1"/>
  <c r="G203" i="47" s="1"/>
  <c r="I39" i="10"/>
  <c r="I202" i="47" s="1"/>
  <c r="I203" i="47" s="1"/>
  <c r="J39" i="10"/>
  <c r="J202" i="47" s="1"/>
  <c r="J203" i="47" s="1"/>
  <c r="K39" i="10"/>
  <c r="K202" i="47" s="1"/>
  <c r="K203" i="47" s="1"/>
  <c r="O39" i="10"/>
  <c r="O202" i="47" s="1"/>
  <c r="O203" i="47" s="1"/>
  <c r="L39" i="10"/>
  <c r="L202" i="47" s="1"/>
  <c r="L203" i="47" s="1"/>
  <c r="H39" i="10"/>
  <c r="H202" i="47" s="1"/>
  <c r="H203" i="47" s="1"/>
  <c r="M39" i="10"/>
  <c r="M202" i="47" s="1"/>
  <c r="M203" i="47" s="1"/>
  <c r="D7" i="10"/>
  <c r="N39" i="10"/>
  <c r="N202" i="47" s="1"/>
  <c r="J159" i="6" l="1"/>
  <c r="H159" i="6"/>
  <c r="I159" i="6"/>
  <c r="F207" i="47"/>
  <c r="N203" i="47"/>
  <c r="H158" i="6"/>
  <c r="J158" i="6"/>
  <c r="I158" i="6"/>
  <c r="K108" i="47"/>
  <c r="K140" i="47"/>
  <c r="K9" i="42"/>
  <c r="N31" i="12"/>
  <c r="M31" i="12"/>
  <c r="H31" i="12"/>
  <c r="L31" i="12"/>
  <c r="O31" i="12"/>
  <c r="K31" i="12"/>
  <c r="J31" i="12"/>
  <c r="I31" i="12"/>
  <c r="G31" i="12"/>
  <c r="K24" i="28"/>
  <c r="K21" i="29"/>
  <c r="K21" i="10"/>
  <c r="K24" i="11"/>
  <c r="K21" i="26"/>
  <c r="K27" i="42" s="1"/>
  <c r="L19" i="26"/>
  <c r="L157" i="6" s="1"/>
  <c r="L13" i="26"/>
  <c r="D53" i="10"/>
  <c r="L53" i="10"/>
  <c r="L206" i="47" s="1"/>
  <c r="L207" i="47" s="1"/>
  <c r="J53" i="10"/>
  <c r="J206" i="47" s="1"/>
  <c r="J207" i="47" s="1"/>
  <c r="O53" i="10"/>
  <c r="O206" i="47" s="1"/>
  <c r="O207" i="47" s="1"/>
  <c r="D5" i="11"/>
  <c r="K53" i="10"/>
  <c r="K206" i="47" s="1"/>
  <c r="K207" i="47" s="1"/>
  <c r="K159" i="6" l="1"/>
  <c r="D206" i="47"/>
  <c r="D207" i="47" s="1"/>
  <c r="K158" i="6"/>
  <c r="L108" i="47"/>
  <c r="L140" i="47"/>
  <c r="L9" i="42"/>
  <c r="L24" i="28"/>
  <c r="L21" i="29"/>
  <c r="L24" i="11"/>
  <c r="L21" i="10"/>
  <c r="L21" i="26"/>
  <c r="L27" i="42" s="1"/>
  <c r="M19" i="26"/>
  <c r="M157" i="6" s="1"/>
  <c r="M13" i="26"/>
  <c r="L159" i="6" l="1"/>
  <c r="L158" i="6"/>
  <c r="M108" i="47"/>
  <c r="M140" i="47"/>
  <c r="M9" i="42"/>
  <c r="M21" i="26"/>
  <c r="M27" i="42" s="1"/>
  <c r="M24" i="28"/>
  <c r="M21" i="29"/>
  <c r="M21" i="10"/>
  <c r="M24" i="11"/>
  <c r="N19" i="26"/>
  <c r="N157" i="6" s="1"/>
  <c r="N13" i="26"/>
  <c r="D9" i="11"/>
  <c r="M159" i="6" l="1"/>
  <c r="M158" i="6"/>
  <c r="N108" i="47"/>
  <c r="N140" i="47"/>
  <c r="N9" i="42"/>
  <c r="N24" i="28"/>
  <c r="N21" i="29"/>
  <c r="N21" i="10"/>
  <c r="N24" i="11"/>
  <c r="N21" i="26"/>
  <c r="N27" i="42" s="1"/>
  <c r="O19" i="26"/>
  <c r="O157" i="6" s="1"/>
  <c r="O13" i="26"/>
  <c r="N159" i="6" l="1"/>
  <c r="N158" i="6"/>
  <c r="O108" i="47"/>
  <c r="O140" i="47"/>
  <c r="O9" i="42"/>
  <c r="O24" i="28"/>
  <c r="O21" i="29"/>
  <c r="O21" i="10"/>
  <c r="O24" i="11"/>
  <c r="O21" i="26"/>
  <c r="O27" i="42" s="1"/>
  <c r="O159" i="6" l="1"/>
  <c r="O158" i="6"/>
  <c r="A2" i="10" l="1"/>
  <c r="O31" i="9" l="1"/>
  <c r="N31" i="9"/>
  <c r="M31" i="9"/>
  <c r="L31" i="9"/>
  <c r="K31" i="9"/>
  <c r="J31" i="9"/>
  <c r="I31" i="9"/>
  <c r="H31" i="9"/>
  <c r="O26" i="9"/>
  <c r="N26" i="9"/>
  <c r="M26" i="9"/>
  <c r="L26" i="9"/>
  <c r="K26" i="9"/>
  <c r="J26" i="9"/>
  <c r="I26" i="9"/>
  <c r="H26" i="9"/>
  <c r="F31" i="9"/>
  <c r="G31" i="9"/>
  <c r="F26" i="9"/>
  <c r="G26" i="9"/>
  <c r="A2" i="2"/>
  <c r="A2" i="4"/>
  <c r="A2" i="7"/>
  <c r="A2" i="5"/>
  <c r="D5" i="5" l="1"/>
  <c r="C31" i="4"/>
  <c r="F19" i="26" l="1"/>
  <c r="F157" i="6" s="1"/>
  <c r="D157" i="6" s="1"/>
  <c r="F13" i="26"/>
  <c r="F108" i="47" l="1"/>
  <c r="F140" i="47"/>
  <c r="F9" i="42"/>
  <c r="F21" i="29"/>
  <c r="D21" i="29" s="1"/>
  <c r="F24" i="28"/>
  <c r="D19" i="26"/>
  <c r="F24" i="11"/>
  <c r="F158" i="6" s="1"/>
  <c r="D158" i="6" s="1"/>
  <c r="F21" i="10"/>
  <c r="D13" i="26"/>
  <c r="F21" i="26"/>
  <c r="D21" i="10" l="1"/>
  <c r="F159" i="6"/>
  <c r="D159" i="6" s="1"/>
  <c r="D9" i="42"/>
  <c r="C74" i="41" s="1"/>
  <c r="D21" i="26"/>
  <c r="D59" i="26" s="1"/>
  <c r="F27" i="42"/>
  <c r="D27" i="42" s="1"/>
  <c r="D108" i="47"/>
  <c r="D140" i="47"/>
  <c r="C59" i="26"/>
  <c r="D24" i="11"/>
  <c r="D24" i="28"/>
  <c r="A27" i="42" l="1"/>
  <c r="E27" i="42"/>
  <c r="D74" i="41"/>
  <c r="D121" i="14" l="1"/>
  <c r="F7" i="14"/>
  <c r="C46" i="41" s="1"/>
  <c r="F123" i="14"/>
  <c r="F154" i="47" l="1"/>
  <c r="D154" i="47" s="1"/>
  <c r="D153" i="47" s="1"/>
  <c r="F184" i="6"/>
  <c r="D184" i="6" s="1"/>
  <c r="F8" i="14"/>
  <c r="C55" i="41"/>
  <c r="F36" i="10"/>
  <c r="F185" i="6" s="1"/>
  <c r="F35" i="29"/>
  <c r="D122" i="14"/>
  <c r="D7" i="14"/>
  <c r="D5" i="41" s="1"/>
  <c r="F127" i="14"/>
  <c r="F11" i="14" s="1"/>
  <c r="F7" i="9" s="1"/>
  <c r="D123" i="14"/>
  <c r="F9" i="14"/>
  <c r="C55" i="1" s="1"/>
  <c r="F7" i="31" l="1"/>
  <c r="F5" i="31" s="1"/>
  <c r="F98" i="6"/>
  <c r="F153" i="47"/>
  <c r="F151" i="47"/>
  <c r="F149" i="47" s="1"/>
  <c r="F174" i="47" s="1"/>
  <c r="D174" i="47" s="1"/>
  <c r="F180" i="6"/>
  <c r="D180" i="6" s="1"/>
  <c r="D36" i="10"/>
  <c r="D35" i="10" s="1"/>
  <c r="D185" i="6"/>
  <c r="C49" i="41"/>
  <c r="M49" i="41" s="1"/>
  <c r="F32" i="29"/>
  <c r="D32" i="29" s="1"/>
  <c r="D30" i="29" s="1"/>
  <c r="F33" i="10"/>
  <c r="D8" i="14"/>
  <c r="F6" i="22"/>
  <c r="D6" i="22" s="1"/>
  <c r="C57" i="41"/>
  <c r="M57" i="41" s="1"/>
  <c r="M55" i="41"/>
  <c r="C48" i="41"/>
  <c r="M46" i="41"/>
  <c r="D9" i="14"/>
  <c r="F14" i="14"/>
  <c r="D14" i="14" s="1"/>
  <c r="F35" i="10"/>
  <c r="D35" i="29"/>
  <c r="D34" i="29" s="1"/>
  <c r="F34" i="29"/>
  <c r="F5" i="9"/>
  <c r="G127" i="14"/>
  <c r="F157" i="47" l="1"/>
  <c r="F201" i="47" s="1"/>
  <c r="D151" i="47"/>
  <c r="D149" i="47" s="1"/>
  <c r="D157" i="47" s="1"/>
  <c r="D33" i="10"/>
  <c r="D31" i="10" s="1"/>
  <c r="D39" i="10" s="1"/>
  <c r="F181" i="6"/>
  <c r="D181" i="6" s="1"/>
  <c r="F30" i="29"/>
  <c r="F55" i="29" s="1"/>
  <c r="D55" i="29" s="1"/>
  <c r="D38" i="29"/>
  <c r="F31" i="10"/>
  <c r="F56" i="10" s="1"/>
  <c r="C5" i="41"/>
  <c r="M48" i="41"/>
  <c r="M50" i="41" s="1"/>
  <c r="C11" i="41" s="1"/>
  <c r="C50" i="41"/>
  <c r="C110" i="41" s="1"/>
  <c r="G11" i="14"/>
  <c r="H127" i="14"/>
  <c r="G7" i="9" l="1"/>
  <c r="G98" i="6" s="1"/>
  <c r="C94" i="41"/>
  <c r="C54" i="1"/>
  <c r="F81" i="47"/>
  <c r="D201" i="47"/>
  <c r="F38" i="29"/>
  <c r="F30" i="32" s="1"/>
  <c r="F39" i="10"/>
  <c r="D56" i="10"/>
  <c r="M110" i="41"/>
  <c r="C111" i="41"/>
  <c r="M111" i="41" s="1"/>
  <c r="G5" i="9"/>
  <c r="G7" i="31"/>
  <c r="G5" i="31" s="1"/>
  <c r="I127" i="14"/>
  <c r="H11" i="14"/>
  <c r="H7" i="9" l="1"/>
  <c r="H98" i="6" s="1"/>
  <c r="F31" i="12"/>
  <c r="D31" i="12" s="1"/>
  <c r="F202" i="47"/>
  <c r="D81" i="47"/>
  <c r="D30" i="32"/>
  <c r="H5" i="9"/>
  <c r="H7" i="31"/>
  <c r="H5" i="31" s="1"/>
  <c r="J127" i="14"/>
  <c r="I11" i="14"/>
  <c r="I7" i="9" l="1"/>
  <c r="I98" i="6" s="1"/>
  <c r="D202" i="47"/>
  <c r="D203" i="47" s="1"/>
  <c r="F203" i="47"/>
  <c r="I7" i="31"/>
  <c r="I5" i="31" s="1"/>
  <c r="K127" i="14"/>
  <c r="J11" i="14"/>
  <c r="J7" i="9" l="1"/>
  <c r="J98" i="6" s="1"/>
  <c r="I5" i="9"/>
  <c r="J5" i="9"/>
  <c r="J7" i="31"/>
  <c r="J5" i="31" s="1"/>
  <c r="L127" i="14"/>
  <c r="K11" i="14"/>
  <c r="K7" i="9" l="1"/>
  <c r="K98" i="6" s="1"/>
  <c r="K5" i="9"/>
  <c r="K7" i="31"/>
  <c r="K5" i="31" s="1"/>
  <c r="L11" i="14"/>
  <c r="M127" i="14"/>
  <c r="L7" i="9" l="1"/>
  <c r="L98" i="6" s="1"/>
  <c r="L5" i="9"/>
  <c r="L7" i="31"/>
  <c r="L5" i="31" s="1"/>
  <c r="N127" i="14"/>
  <c r="M11" i="14"/>
  <c r="M7" i="9" l="1"/>
  <c r="M98" i="6" s="1"/>
  <c r="M5" i="9"/>
  <c r="M7" i="31"/>
  <c r="M5" i="31" s="1"/>
  <c r="O127" i="14"/>
  <c r="N11" i="14"/>
  <c r="N98" i="6" s="1"/>
  <c r="N5" i="9" l="1"/>
  <c r="N7" i="31"/>
  <c r="N5" i="31" s="1"/>
  <c r="O11" i="14"/>
  <c r="O98" i="6" s="1"/>
  <c r="O5" i="9" l="1"/>
  <c r="O7" i="31"/>
  <c r="O5" i="31" s="1"/>
  <c r="D7" i="21" l="1"/>
  <c r="D5" i="21" s="1"/>
  <c r="N21" i="21"/>
  <c r="N19" i="21" s="1"/>
  <c r="N14" i="22" s="1"/>
  <c r="K21" i="21"/>
  <c r="K19" i="21" s="1"/>
  <c r="K14" i="22" s="1"/>
  <c r="I21" i="21"/>
  <c r="I19" i="21" s="1"/>
  <c r="I14" i="22" s="1"/>
  <c r="H21" i="21"/>
  <c r="H19" i="21"/>
  <c r="H14" i="22" s="1"/>
  <c r="G21" i="21"/>
  <c r="G19" i="21" s="1"/>
  <c r="G14" i="22" s="1"/>
  <c r="O14" i="21"/>
  <c r="O12" i="21" s="1"/>
  <c r="O136" i="47" s="1"/>
  <c r="J21" i="21"/>
  <c r="J19" i="21" s="1"/>
  <c r="J14" i="22" s="1"/>
  <c r="L21" i="21"/>
  <c r="L19" i="21"/>
  <c r="L14" i="22" s="1"/>
  <c r="N5" i="21"/>
  <c r="N14" i="21"/>
  <c r="N12" i="21" s="1"/>
  <c r="N126" i="6" s="1"/>
  <c r="I14" i="21"/>
  <c r="I12" i="21" s="1"/>
  <c r="I126" i="6" s="1"/>
  <c r="K14" i="21"/>
  <c r="K12" i="21" s="1"/>
  <c r="K126" i="6" s="1"/>
  <c r="I5" i="21"/>
  <c r="I11" i="11" s="1"/>
  <c r="L14" i="21"/>
  <c r="L12" i="21" s="1"/>
  <c r="L126" i="6" s="1"/>
  <c r="O21" i="21"/>
  <c r="O19" i="21" s="1"/>
  <c r="O14" i="22" s="1"/>
  <c r="G5" i="21"/>
  <c r="G122" i="6" s="1"/>
  <c r="G14" i="21"/>
  <c r="G12" i="21" s="1"/>
  <c r="G126" i="6" s="1"/>
  <c r="M21" i="21"/>
  <c r="M19" i="21" s="1"/>
  <c r="M14" i="22" s="1"/>
  <c r="L5" i="21"/>
  <c r="L11" i="11" s="1"/>
  <c r="K5" i="21"/>
  <c r="K122" i="6" s="1"/>
  <c r="O5" i="21"/>
  <c r="M5" i="21"/>
  <c r="M14" i="21"/>
  <c r="M12" i="21" s="1"/>
  <c r="F21" i="21"/>
  <c r="H5" i="21"/>
  <c r="H11" i="11" s="1"/>
  <c r="H14" i="21"/>
  <c r="H12" i="21" s="1"/>
  <c r="J5" i="21"/>
  <c r="J14" i="21"/>
  <c r="J12" i="21" s="1"/>
  <c r="F14" i="21"/>
  <c r="F12" i="21" s="1"/>
  <c r="F5" i="21"/>
  <c r="F17" i="10" s="1"/>
  <c r="K11" i="28" l="1"/>
  <c r="K6" i="28" s="1"/>
  <c r="K12" i="28" s="1"/>
  <c r="D21" i="21"/>
  <c r="F127" i="6"/>
  <c r="D12" i="21"/>
  <c r="F126" i="6"/>
  <c r="F136" i="47"/>
  <c r="F17" i="29"/>
  <c r="J126" i="6"/>
  <c r="J136" i="47"/>
  <c r="J17" i="29"/>
  <c r="J17" i="10"/>
  <c r="H126" i="6"/>
  <c r="H136" i="47"/>
  <c r="H17" i="29"/>
  <c r="H17" i="10"/>
  <c r="G18" i="22"/>
  <c r="G16" i="22"/>
  <c r="H18" i="22"/>
  <c r="H16" i="22"/>
  <c r="H123" i="6"/>
  <c r="H58" i="11"/>
  <c r="H6" i="11"/>
  <c r="H12" i="11" s="1"/>
  <c r="M95" i="47"/>
  <c r="M122" i="6"/>
  <c r="M11" i="11"/>
  <c r="M11" i="28"/>
  <c r="M6" i="28" s="1"/>
  <c r="M12" i="28" s="1"/>
  <c r="L58" i="11"/>
  <c r="L123" i="6"/>
  <c r="L6" i="11"/>
  <c r="L12" i="11" s="1"/>
  <c r="M18" i="22"/>
  <c r="M16" i="22"/>
  <c r="I58" i="11"/>
  <c r="I123" i="6"/>
  <c r="I6" i="11"/>
  <c r="I12" i="11" s="1"/>
  <c r="L18" i="22"/>
  <c r="L16" i="22"/>
  <c r="I16" i="22"/>
  <c r="I18" i="22"/>
  <c r="F122" i="6"/>
  <c r="F95" i="47"/>
  <c r="F11" i="11"/>
  <c r="J122" i="6"/>
  <c r="J11" i="28"/>
  <c r="J6" i="28" s="1"/>
  <c r="J12" i="28" s="1"/>
  <c r="J11" i="11"/>
  <c r="J95" i="47"/>
  <c r="O122" i="6"/>
  <c r="O95" i="47"/>
  <c r="O11" i="28"/>
  <c r="O6" i="28" s="1"/>
  <c r="O12" i="28" s="1"/>
  <c r="O11" i="11"/>
  <c r="D14" i="21"/>
  <c r="F11" i="28"/>
  <c r="J18" i="22"/>
  <c r="J16" i="22"/>
  <c r="K13" i="28"/>
  <c r="K17" i="28"/>
  <c r="M126" i="6"/>
  <c r="M17" i="29"/>
  <c r="M136" i="47"/>
  <c r="M17" i="10"/>
  <c r="O18" i="22"/>
  <c r="O16" i="22"/>
  <c r="N122" i="6"/>
  <c r="N11" i="11"/>
  <c r="L17" i="10"/>
  <c r="K17" i="29"/>
  <c r="F19" i="21"/>
  <c r="K11" i="11"/>
  <c r="K17" i="10"/>
  <c r="O17" i="10"/>
  <c r="L122" i="6"/>
  <c r="L95" i="47"/>
  <c r="N17" i="29"/>
  <c r="K18" i="22"/>
  <c r="K16" i="22"/>
  <c r="N11" i="28"/>
  <c r="N6" i="28" s="1"/>
  <c r="N12" i="28" s="1"/>
  <c r="I122" i="6"/>
  <c r="I95" i="47"/>
  <c r="G11" i="28"/>
  <c r="G6" i="28" s="1"/>
  <c r="G12" i="28" s="1"/>
  <c r="N95" i="47"/>
  <c r="G136" i="47"/>
  <c r="N136" i="47"/>
  <c r="L17" i="29"/>
  <c r="L11" i="28"/>
  <c r="L6" i="28" s="1"/>
  <c r="L12" i="28" s="1"/>
  <c r="I17" i="29"/>
  <c r="N17" i="10"/>
  <c r="I136" i="47"/>
  <c r="K136" i="47"/>
  <c r="K95" i="47"/>
  <c r="G95" i="47"/>
  <c r="O126" i="6"/>
  <c r="O17" i="29"/>
  <c r="N18" i="22"/>
  <c r="N16" i="22"/>
  <c r="H122" i="6"/>
  <c r="H95" i="47"/>
  <c r="H11" i="28"/>
  <c r="H6" i="28" s="1"/>
  <c r="H12" i="28" s="1"/>
  <c r="G17" i="29"/>
  <c r="L136" i="47"/>
  <c r="G11" i="11"/>
  <c r="I11" i="28"/>
  <c r="I6" i="28" s="1"/>
  <c r="I12" i="28" s="1"/>
  <c r="G17" i="10"/>
  <c r="I17" i="10"/>
  <c r="H139" i="47" l="1"/>
  <c r="H90" i="47"/>
  <c r="H96" i="47" s="1"/>
  <c r="H193" i="47"/>
  <c r="N123" i="6"/>
  <c r="N58" i="11"/>
  <c r="N6" i="11"/>
  <c r="N12" i="11" s="1"/>
  <c r="O13" i="28"/>
  <c r="O17" i="28"/>
  <c r="F193" i="47"/>
  <c r="F139" i="47"/>
  <c r="D95" i="47"/>
  <c r="D90" i="47" s="1"/>
  <c r="D96" i="47" s="1"/>
  <c r="F90" i="47"/>
  <c r="F96" i="47" s="1"/>
  <c r="I53" i="11"/>
  <c r="I65" i="11" s="1"/>
  <c r="G13" i="28"/>
  <c r="G17" i="28"/>
  <c r="K18" i="28"/>
  <c r="O193" i="47"/>
  <c r="O139" i="47"/>
  <c r="O90" i="47"/>
  <c r="O96" i="47" s="1"/>
  <c r="D122" i="6"/>
  <c r="M176" i="6"/>
  <c r="M20" i="29"/>
  <c r="M19" i="22"/>
  <c r="M20" i="10"/>
  <c r="M6" i="42"/>
  <c r="M139" i="47"/>
  <c r="M193" i="47"/>
  <c r="M90" i="47"/>
  <c r="M96" i="47" s="1"/>
  <c r="H127" i="6"/>
  <c r="D17" i="29"/>
  <c r="N139" i="47"/>
  <c r="N193" i="47"/>
  <c r="N90" i="47"/>
  <c r="N96" i="47" s="1"/>
  <c r="N20" i="10"/>
  <c r="N176" i="6"/>
  <c r="N20" i="29"/>
  <c r="N19" i="22"/>
  <c r="N6" i="42"/>
  <c r="N127" i="6"/>
  <c r="I139" i="47"/>
  <c r="I193" i="47"/>
  <c r="I90" i="47"/>
  <c r="I96" i="47" s="1"/>
  <c r="O127" i="6"/>
  <c r="O176" i="6"/>
  <c r="O20" i="10"/>
  <c r="O19" i="22"/>
  <c r="O20" i="29"/>
  <c r="O6" i="42"/>
  <c r="H13" i="11"/>
  <c r="H17" i="11"/>
  <c r="D136" i="47"/>
  <c r="K127" i="6"/>
  <c r="J176" i="6"/>
  <c r="J20" i="29"/>
  <c r="J19" i="22"/>
  <c r="J20" i="10"/>
  <c r="J6" i="42"/>
  <c r="J139" i="47"/>
  <c r="J90" i="47"/>
  <c r="J96" i="47" s="1"/>
  <c r="J193" i="47"/>
  <c r="I176" i="6"/>
  <c r="I20" i="10"/>
  <c r="I19" i="22"/>
  <c r="I20" i="29"/>
  <c r="I6" i="42"/>
  <c r="L13" i="11"/>
  <c r="L17" i="11"/>
  <c r="H53" i="11"/>
  <c r="H65" i="11" s="1"/>
  <c r="D126" i="6"/>
  <c r="L139" i="47"/>
  <c r="L193" i="47"/>
  <c r="L90" i="47"/>
  <c r="L96" i="47" s="1"/>
  <c r="I13" i="28"/>
  <c r="I17" i="28"/>
  <c r="G123" i="6"/>
  <c r="G58" i="11"/>
  <c r="G6" i="11"/>
  <c r="G12" i="11" s="1"/>
  <c r="L13" i="28"/>
  <c r="L17" i="28"/>
  <c r="N13" i="28"/>
  <c r="N17" i="28"/>
  <c r="K58" i="11"/>
  <c r="K123" i="6"/>
  <c r="K6" i="11"/>
  <c r="K12" i="11" s="1"/>
  <c r="M127" i="6"/>
  <c r="J58" i="11"/>
  <c r="J123" i="6"/>
  <c r="J6" i="11"/>
  <c r="J12" i="11" s="1"/>
  <c r="L19" i="22"/>
  <c r="L20" i="10"/>
  <c r="L176" i="6"/>
  <c r="L20" i="29"/>
  <c r="L6" i="42"/>
  <c r="I127" i="6"/>
  <c r="G127" i="6"/>
  <c r="K20" i="29"/>
  <c r="K20" i="10"/>
  <c r="K19" i="22"/>
  <c r="K176" i="6"/>
  <c r="K6" i="42"/>
  <c r="D19" i="21"/>
  <c r="F14" i="22"/>
  <c r="D11" i="28"/>
  <c r="D6" i="28" s="1"/>
  <c r="D12" i="28" s="1"/>
  <c r="F6" i="28"/>
  <c r="F12" i="28" s="1"/>
  <c r="J13" i="28"/>
  <c r="J17" i="28"/>
  <c r="L53" i="11"/>
  <c r="H20" i="10"/>
  <c r="H19" i="22"/>
  <c r="H176" i="6"/>
  <c r="H20" i="29"/>
  <c r="H6" i="42"/>
  <c r="J127" i="6"/>
  <c r="D127" i="6" s="1"/>
  <c r="I13" i="11"/>
  <c r="I17" i="11"/>
  <c r="M13" i="28"/>
  <c r="M17" i="28"/>
  <c r="D17" i="10"/>
  <c r="G139" i="47"/>
  <c r="G193" i="47"/>
  <c r="G90" i="47"/>
  <c r="G96" i="47" s="1"/>
  <c r="H17" i="28"/>
  <c r="H13" i="28"/>
  <c r="K139" i="47"/>
  <c r="K193" i="47"/>
  <c r="K90" i="47"/>
  <c r="K96" i="47" s="1"/>
  <c r="L127" i="6"/>
  <c r="O123" i="6"/>
  <c r="O58" i="11"/>
  <c r="O6" i="11"/>
  <c r="O12" i="11" s="1"/>
  <c r="F123" i="6"/>
  <c r="D11" i="11"/>
  <c r="D6" i="11" s="1"/>
  <c r="D12" i="11" s="1"/>
  <c r="F58" i="11"/>
  <c r="F6" i="11"/>
  <c r="F12" i="11" s="1"/>
  <c r="M123" i="6"/>
  <c r="M58" i="11"/>
  <c r="M6" i="11"/>
  <c r="M12" i="11" s="1"/>
  <c r="G176" i="6"/>
  <c r="G20" i="10"/>
  <c r="G20" i="29"/>
  <c r="G19" i="22"/>
  <c r="G6" i="42"/>
  <c r="D123" i="6" l="1"/>
  <c r="D58" i="11"/>
  <c r="F53" i="11"/>
  <c r="M13" i="11"/>
  <c r="M17" i="11"/>
  <c r="O53" i="11"/>
  <c r="M18" i="28"/>
  <c r="L64" i="11"/>
  <c r="L63" i="11"/>
  <c r="L62" i="11"/>
  <c r="L61" i="11"/>
  <c r="K53" i="11"/>
  <c r="I18" i="28"/>
  <c r="I97" i="47"/>
  <c r="I101" i="47"/>
  <c r="O18" i="28"/>
  <c r="M53" i="11"/>
  <c r="M65" i="11" s="1"/>
  <c r="J18" i="28"/>
  <c r="J13" i="11"/>
  <c r="J17" i="11"/>
  <c r="N18" i="28"/>
  <c r="L18" i="11"/>
  <c r="L25" i="11"/>
  <c r="L7" i="48" s="1"/>
  <c r="J97" i="47"/>
  <c r="J101" i="47"/>
  <c r="N194" i="47"/>
  <c r="N195" i="47" s="1"/>
  <c r="N177" i="6"/>
  <c r="M101" i="47"/>
  <c r="M97" i="47"/>
  <c r="H18" i="28"/>
  <c r="I18" i="11"/>
  <c r="I25" i="11"/>
  <c r="I7" i="48" s="1"/>
  <c r="L97" i="47"/>
  <c r="L101" i="47"/>
  <c r="N97" i="47"/>
  <c r="N101" i="47"/>
  <c r="O101" i="47"/>
  <c r="O97" i="47"/>
  <c r="I62" i="11"/>
  <c r="I61" i="11"/>
  <c r="I63" i="11"/>
  <c r="I64" i="11"/>
  <c r="N13" i="11"/>
  <c r="N17" i="11"/>
  <c r="F13" i="11"/>
  <c r="F17" i="11"/>
  <c r="G97" i="47"/>
  <c r="G101" i="47"/>
  <c r="F13" i="28"/>
  <c r="F17" i="28"/>
  <c r="K177" i="6"/>
  <c r="K194" i="47"/>
  <c r="K195" i="47" s="1"/>
  <c r="J53" i="11"/>
  <c r="J65" i="11" s="1"/>
  <c r="L18" i="28"/>
  <c r="N53" i="11"/>
  <c r="N65" i="11" s="1"/>
  <c r="D13" i="28"/>
  <c r="D17" i="28"/>
  <c r="J177" i="6"/>
  <c r="J194" i="47"/>
  <c r="J195" i="47" s="1"/>
  <c r="O194" i="47"/>
  <c r="O195" i="47" s="1"/>
  <c r="O177" i="6"/>
  <c r="F97" i="47"/>
  <c r="F101" i="47"/>
  <c r="G13" i="11"/>
  <c r="G17" i="11"/>
  <c r="M177" i="6"/>
  <c r="M194" i="47"/>
  <c r="M195" i="47" s="1"/>
  <c r="D97" i="47"/>
  <c r="D101" i="47"/>
  <c r="D13" i="11"/>
  <c r="D17" i="11"/>
  <c r="K97" i="47"/>
  <c r="K101" i="47"/>
  <c r="H177" i="6"/>
  <c r="H194" i="47"/>
  <c r="H195" i="47" s="1"/>
  <c r="D14" i="22"/>
  <c r="D16" i="22" s="1"/>
  <c r="F18" i="22"/>
  <c r="F16" i="22"/>
  <c r="K13" i="11"/>
  <c r="K17" i="11"/>
  <c r="G53" i="11"/>
  <c r="G65" i="11" s="1"/>
  <c r="I177" i="6"/>
  <c r="I194" i="47"/>
  <c r="I195" i="47" s="1"/>
  <c r="D139" i="47"/>
  <c r="H97" i="47"/>
  <c r="H101" i="47"/>
  <c r="G177" i="6"/>
  <c r="G194" i="47"/>
  <c r="G195" i="47" s="1"/>
  <c r="O13" i="11"/>
  <c r="O17" i="11"/>
  <c r="L65" i="11"/>
  <c r="L177" i="6"/>
  <c r="L194" i="47"/>
  <c r="L195" i="47" s="1"/>
  <c r="H63" i="11"/>
  <c r="H64" i="11"/>
  <c r="H62" i="11"/>
  <c r="H61" i="11"/>
  <c r="H18" i="11"/>
  <c r="H25" i="11"/>
  <c r="H7" i="48" s="1"/>
  <c r="G18" i="28"/>
  <c r="D193" i="47"/>
  <c r="D109" i="47" l="1"/>
  <c r="D102" i="47"/>
  <c r="K61" i="11"/>
  <c r="K62" i="11"/>
  <c r="K63" i="11"/>
  <c r="K64" i="11"/>
  <c r="G64" i="11"/>
  <c r="G63" i="11"/>
  <c r="G62" i="11"/>
  <c r="G61" i="11"/>
  <c r="D18" i="28"/>
  <c r="K65" i="11"/>
  <c r="H102" i="47"/>
  <c r="H109" i="47"/>
  <c r="O102" i="47"/>
  <c r="O109" i="47"/>
  <c r="I14" i="48"/>
  <c r="I26" i="11"/>
  <c r="I32" i="11"/>
  <c r="I33" i="11" s="1"/>
  <c r="I20" i="25"/>
  <c r="O64" i="11"/>
  <c r="O62" i="11"/>
  <c r="O61" i="11"/>
  <c r="O63" i="11"/>
  <c r="K18" i="11"/>
  <c r="K25" i="11"/>
  <c r="K7" i="48" s="1"/>
  <c r="K102" i="47"/>
  <c r="K109" i="47"/>
  <c r="F18" i="28"/>
  <c r="N18" i="11"/>
  <c r="N25" i="11"/>
  <c r="N7" i="48" s="1"/>
  <c r="J18" i="11"/>
  <c r="J25" i="11"/>
  <c r="J7" i="48" s="1"/>
  <c r="I102" i="47"/>
  <c r="I109" i="47"/>
  <c r="O65" i="11"/>
  <c r="H14" i="48"/>
  <c r="H26" i="11"/>
  <c r="H32" i="11"/>
  <c r="H33" i="11" s="1"/>
  <c r="H20" i="25"/>
  <c r="G18" i="11"/>
  <c r="G25" i="11"/>
  <c r="G7" i="48" s="1"/>
  <c r="N102" i="47"/>
  <c r="N109" i="47"/>
  <c r="L60" i="11"/>
  <c r="M18" i="11"/>
  <c r="M25" i="11"/>
  <c r="M7" i="48" s="1"/>
  <c r="F19" i="22"/>
  <c r="F20" i="29"/>
  <c r="F176" i="6"/>
  <c r="D176" i="6" s="1"/>
  <c r="F20" i="10"/>
  <c r="F6" i="42"/>
  <c r="D25" i="11"/>
  <c r="D18" i="11"/>
  <c r="N61" i="11"/>
  <c r="N64" i="11"/>
  <c r="N63" i="11"/>
  <c r="N62" i="11"/>
  <c r="G102" i="47"/>
  <c r="G109" i="47"/>
  <c r="J109" i="47"/>
  <c r="J102" i="47"/>
  <c r="H60" i="11"/>
  <c r="F102" i="47"/>
  <c r="F109" i="47"/>
  <c r="L102" i="47"/>
  <c r="L109" i="47"/>
  <c r="F62" i="11"/>
  <c r="F64" i="11"/>
  <c r="F63" i="11"/>
  <c r="F61" i="11"/>
  <c r="D53" i="11"/>
  <c r="D65" i="11" s="1"/>
  <c r="O18" i="11"/>
  <c r="O25" i="11"/>
  <c r="O7" i="48" s="1"/>
  <c r="J62" i="11"/>
  <c r="J61" i="11"/>
  <c r="J63" i="11"/>
  <c r="J64" i="11"/>
  <c r="F18" i="11"/>
  <c r="F25" i="11"/>
  <c r="F7" i="48" s="1"/>
  <c r="I60" i="11"/>
  <c r="M102" i="47"/>
  <c r="M109" i="47"/>
  <c r="L32" i="11"/>
  <c r="L33" i="11" s="1"/>
  <c r="L26" i="11"/>
  <c r="L14" i="48"/>
  <c r="L20" i="25"/>
  <c r="M63" i="11"/>
  <c r="M64" i="11"/>
  <c r="M62" i="11"/>
  <c r="M61" i="11"/>
  <c r="F65" i="11"/>
  <c r="N60" i="11" l="1"/>
  <c r="F60" i="11"/>
  <c r="G60" i="11"/>
  <c r="G14" i="48"/>
  <c r="G26" i="11"/>
  <c r="G32" i="11"/>
  <c r="G33" i="11" s="1"/>
  <c r="G20" i="25"/>
  <c r="I110" i="47"/>
  <c r="I111" i="47"/>
  <c r="I141" i="47" s="1"/>
  <c r="I130" i="47" s="1"/>
  <c r="I115" i="47"/>
  <c r="I116" i="47" s="1"/>
  <c r="K115" i="47"/>
  <c r="K116" i="47" s="1"/>
  <c r="K111" i="47"/>
  <c r="K141" i="47" s="1"/>
  <c r="K130" i="47" s="1"/>
  <c r="K110" i="47"/>
  <c r="D75" i="1"/>
  <c r="D26" i="11"/>
  <c r="D74" i="1"/>
  <c r="D32" i="11"/>
  <c r="D33" i="11" s="1"/>
  <c r="M60" i="11"/>
  <c r="J60" i="11"/>
  <c r="D6" i="42"/>
  <c r="I28" i="25"/>
  <c r="I29" i="25"/>
  <c r="I8" i="42" s="1"/>
  <c r="H110" i="47"/>
  <c r="H115" i="47"/>
  <c r="H116" i="47" s="1"/>
  <c r="H111" i="47"/>
  <c r="H141" i="47" s="1"/>
  <c r="H130" i="47" s="1"/>
  <c r="H13" i="42"/>
  <c r="H24" i="10"/>
  <c r="H28" i="11"/>
  <c r="H29" i="11" s="1"/>
  <c r="L110" i="47"/>
  <c r="L115" i="47"/>
  <c r="L116" i="47" s="1"/>
  <c r="L111" i="47"/>
  <c r="L141" i="47" s="1"/>
  <c r="L130" i="47" s="1"/>
  <c r="M110" i="47"/>
  <c r="M111" i="47"/>
  <c r="M141" i="47" s="1"/>
  <c r="M130" i="47" s="1"/>
  <c r="M115" i="47"/>
  <c r="M116" i="47" s="1"/>
  <c r="F110" i="47"/>
  <c r="F115" i="47"/>
  <c r="F116" i="47" s="1"/>
  <c r="F111" i="47"/>
  <c r="F112" i="47" s="1"/>
  <c r="D20" i="10"/>
  <c r="F177" i="6"/>
  <c r="D177" i="6" s="1"/>
  <c r="F194" i="47"/>
  <c r="H29" i="25"/>
  <c r="H8" i="42" s="1"/>
  <c r="H28" i="25"/>
  <c r="J26" i="11"/>
  <c r="J32" i="11"/>
  <c r="J33" i="11" s="1"/>
  <c r="J14" i="48"/>
  <c r="J20" i="25"/>
  <c r="K26" i="11"/>
  <c r="K14" i="48"/>
  <c r="K32" i="11"/>
  <c r="K33" i="11" s="1"/>
  <c r="K20" i="25"/>
  <c r="K60" i="11"/>
  <c r="N110" i="47"/>
  <c r="N111" i="47"/>
  <c r="N141" i="47" s="1"/>
  <c r="N130" i="47" s="1"/>
  <c r="N115" i="47"/>
  <c r="N116" i="47" s="1"/>
  <c r="L13" i="42"/>
  <c r="L28" i="11"/>
  <c r="L29" i="11" s="1"/>
  <c r="L24" i="10"/>
  <c r="O26" i="11"/>
  <c r="O32" i="11"/>
  <c r="O33" i="11" s="1"/>
  <c r="O14" i="48"/>
  <c r="O20" i="25"/>
  <c r="J110" i="47"/>
  <c r="J111" i="47"/>
  <c r="J141" i="47" s="1"/>
  <c r="J130" i="47" s="1"/>
  <c r="J115" i="47"/>
  <c r="J116" i="47" s="1"/>
  <c r="M26" i="11"/>
  <c r="M14" i="48"/>
  <c r="M32" i="11"/>
  <c r="M33" i="11" s="1"/>
  <c r="M20" i="25"/>
  <c r="G110" i="47"/>
  <c r="G111" i="47"/>
  <c r="G141" i="47" s="1"/>
  <c r="G130" i="47" s="1"/>
  <c r="G115" i="47"/>
  <c r="G116" i="47" s="1"/>
  <c r="D20" i="29"/>
  <c r="N14" i="48"/>
  <c r="N26" i="11"/>
  <c r="N20" i="25"/>
  <c r="N32" i="11"/>
  <c r="N33" i="11" s="1"/>
  <c r="I13" i="42"/>
  <c r="I24" i="10"/>
  <c r="I28" i="11"/>
  <c r="I29" i="11" s="1"/>
  <c r="D115" i="47"/>
  <c r="D116" i="47" s="1"/>
  <c r="D110" i="47"/>
  <c r="D62" i="11"/>
  <c r="D63" i="11"/>
  <c r="D64" i="11"/>
  <c r="D61" i="11"/>
  <c r="L28" i="25"/>
  <c r="L29" i="25"/>
  <c r="L8" i="42" s="1"/>
  <c r="F26" i="11"/>
  <c r="F14" i="48"/>
  <c r="F32" i="11"/>
  <c r="F33" i="11" s="1"/>
  <c r="F20" i="25"/>
  <c r="O60" i="11"/>
  <c r="O110" i="47"/>
  <c r="O115" i="47"/>
  <c r="O116" i="47" s="1"/>
  <c r="O111" i="47"/>
  <c r="O141" i="47" s="1"/>
  <c r="O130" i="47" s="1"/>
  <c r="F24" i="10" l="1"/>
  <c r="F28" i="11"/>
  <c r="F29" i="11" s="1"/>
  <c r="H18" i="42"/>
  <c r="L18" i="42"/>
  <c r="I18" i="42"/>
  <c r="D60" i="11"/>
  <c r="M112" i="47"/>
  <c r="M113" i="47" s="1"/>
  <c r="J112" i="47"/>
  <c r="J113" i="47" s="1"/>
  <c r="L112" i="47"/>
  <c r="L113" i="47" s="1"/>
  <c r="N112" i="47"/>
  <c r="N113" i="47" s="1"/>
  <c r="F113" i="47"/>
  <c r="F118" i="47"/>
  <c r="O13" i="42"/>
  <c r="O24" i="10"/>
  <c r="O28" i="11"/>
  <c r="O29" i="11" s="1"/>
  <c r="C71" i="41"/>
  <c r="G146" i="47"/>
  <c r="G175" i="47"/>
  <c r="K175" i="47"/>
  <c r="K146" i="47"/>
  <c r="N28" i="25"/>
  <c r="N29" i="25"/>
  <c r="N8" i="42" s="1"/>
  <c r="J175" i="47"/>
  <c r="J146" i="47"/>
  <c r="J29" i="25"/>
  <c r="J8" i="42" s="1"/>
  <c r="J28" i="25"/>
  <c r="D194" i="47"/>
  <c r="D195" i="47" s="1"/>
  <c r="F195" i="47"/>
  <c r="M29" i="25"/>
  <c r="M8" i="42" s="1"/>
  <c r="M28" i="25"/>
  <c r="M146" i="47"/>
  <c r="M175" i="47"/>
  <c r="I7" i="42"/>
  <c r="I5" i="42" s="1"/>
  <c r="I27" i="25"/>
  <c r="G24" i="10"/>
  <c r="G28" i="11"/>
  <c r="G29" i="11" s="1"/>
  <c r="G13" i="42"/>
  <c r="N13" i="42"/>
  <c r="N28" i="11"/>
  <c r="N29" i="11" s="1"/>
  <c r="N24" i="10"/>
  <c r="J13" i="42"/>
  <c r="J28" i="11"/>
  <c r="J29" i="11" s="1"/>
  <c r="J24" i="10"/>
  <c r="I175" i="47"/>
  <c r="I146" i="47"/>
  <c r="L27" i="25"/>
  <c r="L7" i="42"/>
  <c r="L5" i="42" s="1"/>
  <c r="K29" i="25"/>
  <c r="K28" i="25"/>
  <c r="L146" i="47"/>
  <c r="L175" i="47"/>
  <c r="D20" i="25"/>
  <c r="F29" i="25"/>
  <c r="F28" i="25"/>
  <c r="F13" i="42"/>
  <c r="M13" i="42"/>
  <c r="M28" i="11"/>
  <c r="M29" i="11" s="1"/>
  <c r="M24" i="10"/>
  <c r="O29" i="25"/>
  <c r="O8" i="42" s="1"/>
  <c r="O28" i="25"/>
  <c r="D111" i="47"/>
  <c r="D112" i="47" s="1"/>
  <c r="F141" i="47"/>
  <c r="H175" i="47"/>
  <c r="H146" i="47"/>
  <c r="I112" i="47"/>
  <c r="I113" i="47" s="1"/>
  <c r="K28" i="11"/>
  <c r="K29" i="11" s="1"/>
  <c r="K24" i="10"/>
  <c r="K13" i="42"/>
  <c r="O175" i="47"/>
  <c r="O146" i="47"/>
  <c r="O112" i="47"/>
  <c r="O113" i="47" s="1"/>
  <c r="G112" i="47"/>
  <c r="G113" i="47" s="1"/>
  <c r="N175" i="47"/>
  <c r="N146" i="47"/>
  <c r="H7" i="42"/>
  <c r="H5" i="42" s="1"/>
  <c r="H27" i="25"/>
  <c r="H112" i="47"/>
  <c r="H113" i="47" s="1"/>
  <c r="K112" i="47"/>
  <c r="K113" i="47" s="1"/>
  <c r="G29" i="25"/>
  <c r="G8" i="42" s="1"/>
  <c r="G28" i="25"/>
  <c r="O18" i="42" l="1"/>
  <c r="N18" i="42"/>
  <c r="M18" i="42"/>
  <c r="G18" i="42"/>
  <c r="J18" i="42"/>
  <c r="G7" i="42"/>
  <c r="G5" i="42" s="1"/>
  <c r="G27" i="25"/>
  <c r="N80" i="47"/>
  <c r="N82" i="47" s="1"/>
  <c r="N197" i="47"/>
  <c r="F8" i="42"/>
  <c r="D29" i="25"/>
  <c r="A29" i="25" s="1"/>
  <c r="L80" i="47"/>
  <c r="L82" i="47" s="1"/>
  <c r="L197" i="47"/>
  <c r="I80" i="47"/>
  <c r="I82" i="47" s="1"/>
  <c r="I197" i="47"/>
  <c r="F114" i="41"/>
  <c r="I17" i="42"/>
  <c r="I16" i="42" s="1"/>
  <c r="K7" i="42"/>
  <c r="K27" i="25"/>
  <c r="J80" i="47"/>
  <c r="J82" i="47" s="1"/>
  <c r="J197" i="47"/>
  <c r="H80" i="47"/>
  <c r="H82" i="47" s="1"/>
  <c r="H197" i="47"/>
  <c r="K8" i="42"/>
  <c r="K18" i="42" s="1"/>
  <c r="M80" i="47"/>
  <c r="M82" i="47" s="1"/>
  <c r="M197" i="47"/>
  <c r="K80" i="47"/>
  <c r="K82" i="47" s="1"/>
  <c r="K197" i="47"/>
  <c r="D141" i="47"/>
  <c r="D130" i="47" s="1"/>
  <c r="D146" i="47" s="1"/>
  <c r="F130" i="47"/>
  <c r="D13" i="42"/>
  <c r="C75" i="41" s="1"/>
  <c r="N27" i="25"/>
  <c r="N7" i="42"/>
  <c r="N5" i="42" s="1"/>
  <c r="D113" i="47"/>
  <c r="H44" i="47"/>
  <c r="H62" i="47"/>
  <c r="H53" i="47"/>
  <c r="H162" i="6"/>
  <c r="H27" i="11"/>
  <c r="H22" i="10"/>
  <c r="O7" i="42"/>
  <c r="O5" i="42" s="1"/>
  <c r="O27" i="25"/>
  <c r="D24" i="10"/>
  <c r="L17" i="42"/>
  <c r="L16" i="42" s="1"/>
  <c r="I114" i="41"/>
  <c r="M7" i="42"/>
  <c r="M5" i="42" s="1"/>
  <c r="M27" i="25"/>
  <c r="G80" i="47"/>
  <c r="G82" i="47" s="1"/>
  <c r="G197" i="47"/>
  <c r="G118" i="47"/>
  <c r="H118" i="47" s="1"/>
  <c r="I118" i="47" s="1"/>
  <c r="J118" i="47" s="1"/>
  <c r="K118" i="47" s="1"/>
  <c r="L118" i="47" s="1"/>
  <c r="M118" i="47" s="1"/>
  <c r="N118" i="47" s="1"/>
  <c r="O118" i="47" s="1"/>
  <c r="H17" i="42"/>
  <c r="H16" i="42" s="1"/>
  <c r="E114" i="41"/>
  <c r="O80" i="47"/>
  <c r="O82" i="47" s="1"/>
  <c r="O197" i="47"/>
  <c r="D28" i="25"/>
  <c r="A28" i="25" s="1"/>
  <c r="F27" i="25"/>
  <c r="F7" i="42"/>
  <c r="L162" i="6"/>
  <c r="L22" i="10"/>
  <c r="L27" i="11"/>
  <c r="I162" i="6"/>
  <c r="I22" i="10"/>
  <c r="I27" i="11"/>
  <c r="J7" i="42"/>
  <c r="J5" i="42" s="1"/>
  <c r="J27" i="25"/>
  <c r="F5" i="42" l="1"/>
  <c r="C114" i="41" s="1"/>
  <c r="K5" i="42"/>
  <c r="H114" i="41" s="1"/>
  <c r="F18" i="42"/>
  <c r="O162" i="6"/>
  <c r="O27" i="11"/>
  <c r="O22" i="10"/>
  <c r="N17" i="42"/>
  <c r="N16" i="42" s="1"/>
  <c r="K114" i="41"/>
  <c r="F146" i="47"/>
  <c r="F175" i="47"/>
  <c r="M162" i="6"/>
  <c r="M27" i="11"/>
  <c r="M22" i="10"/>
  <c r="K162" i="6"/>
  <c r="K27" i="11"/>
  <c r="K22" i="10"/>
  <c r="M17" i="42"/>
  <c r="M16" i="42" s="1"/>
  <c r="J114" i="41"/>
  <c r="K17" i="42"/>
  <c r="L163" i="6"/>
  <c r="L164" i="6"/>
  <c r="L11" i="10"/>
  <c r="L114" i="41"/>
  <c r="O17" i="42"/>
  <c r="O16" i="42" s="1"/>
  <c r="J162" i="6"/>
  <c r="J22" i="10"/>
  <c r="J27" i="11"/>
  <c r="D7" i="42"/>
  <c r="F17" i="42"/>
  <c r="H164" i="6"/>
  <c r="H11" i="10"/>
  <c r="N27" i="11"/>
  <c r="N162" i="6"/>
  <c r="N22" i="10"/>
  <c r="G114" i="41"/>
  <c r="J17" i="42"/>
  <c r="J16" i="42" s="1"/>
  <c r="F27" i="11"/>
  <c r="D27" i="25"/>
  <c r="A27" i="25" s="1"/>
  <c r="F22" i="10"/>
  <c r="F162" i="6"/>
  <c r="H163" i="6"/>
  <c r="G22" i="10"/>
  <c r="G27" i="11"/>
  <c r="G162" i="6"/>
  <c r="I163" i="6"/>
  <c r="G17" i="42"/>
  <c r="G16" i="42" s="1"/>
  <c r="D114" i="41"/>
  <c r="I164" i="6"/>
  <c r="I11" i="10"/>
  <c r="D8" i="42"/>
  <c r="M114" i="41" l="1"/>
  <c r="G163" i="6"/>
  <c r="G164" i="6"/>
  <c r="G11" i="10"/>
  <c r="K16" i="42"/>
  <c r="J163" i="6"/>
  <c r="L28" i="10"/>
  <c r="L57" i="10"/>
  <c r="O164" i="6"/>
  <c r="O11" i="10"/>
  <c r="C73" i="41"/>
  <c r="D5" i="42"/>
  <c r="N164" i="6"/>
  <c r="N11" i="10"/>
  <c r="H57" i="10"/>
  <c r="H28" i="10"/>
  <c r="J164" i="6"/>
  <c r="J11" i="10"/>
  <c r="K164" i="6"/>
  <c r="K11" i="10"/>
  <c r="D175" i="47"/>
  <c r="D177" i="47" s="1"/>
  <c r="F177" i="47"/>
  <c r="O163" i="6"/>
  <c r="D162" i="6"/>
  <c r="L30" i="11"/>
  <c r="L39" i="28"/>
  <c r="K163" i="6"/>
  <c r="F197" i="47"/>
  <c r="F80" i="47"/>
  <c r="I30" i="11"/>
  <c r="I39" i="28"/>
  <c r="I57" i="10"/>
  <c r="I28" i="10"/>
  <c r="D22" i="10"/>
  <c r="D11" i="10" s="1"/>
  <c r="D28" i="10" s="1"/>
  <c r="F164" i="6"/>
  <c r="F11" i="10"/>
  <c r="F28" i="10" s="1"/>
  <c r="N163" i="6"/>
  <c r="H30" i="11"/>
  <c r="H39" i="28"/>
  <c r="M164" i="6"/>
  <c r="M11" i="10"/>
  <c r="D18" i="42"/>
  <c r="D27" i="11"/>
  <c r="D29" i="11" s="1"/>
  <c r="F163" i="6"/>
  <c r="F16" i="42"/>
  <c r="D17" i="42"/>
  <c r="M163" i="6"/>
  <c r="D163" i="6" l="1"/>
  <c r="L30" i="12"/>
  <c r="L89" i="6"/>
  <c r="L198" i="47"/>
  <c r="L199" i="47" s="1"/>
  <c r="I37" i="41"/>
  <c r="I34" i="41" s="1"/>
  <c r="I40" i="41" s="1"/>
  <c r="I89" i="6"/>
  <c r="I198" i="47"/>
  <c r="I199" i="47" s="1"/>
  <c r="I30" i="12"/>
  <c r="F37" i="41"/>
  <c r="F34" i="41" s="1"/>
  <c r="F40" i="41" s="1"/>
  <c r="F82" i="47"/>
  <c r="D80" i="47"/>
  <c r="D82" i="47" s="1"/>
  <c r="J39" i="28"/>
  <c r="J30" i="11"/>
  <c r="D197" i="47"/>
  <c r="K30" i="11"/>
  <c r="K39" i="28"/>
  <c r="O30" i="11"/>
  <c r="O39" i="28"/>
  <c r="J57" i="10"/>
  <c r="J28" i="10"/>
  <c r="N39" i="28"/>
  <c r="N30" i="11"/>
  <c r="G28" i="10"/>
  <c r="G57" i="10"/>
  <c r="A17" i="42"/>
  <c r="E17" i="42"/>
  <c r="C114" i="1"/>
  <c r="D16" i="42"/>
  <c r="C77" i="41"/>
  <c r="C60" i="1" s="1"/>
  <c r="F30" i="11"/>
  <c r="F39" i="28"/>
  <c r="F36" i="11"/>
  <c r="M30" i="11"/>
  <c r="M39" i="28"/>
  <c r="D30" i="11"/>
  <c r="B49" i="11" s="1"/>
  <c r="B48" i="11"/>
  <c r="F77" i="47"/>
  <c r="G124" i="47"/>
  <c r="G177" i="47" s="1"/>
  <c r="H198" i="47"/>
  <c r="H199" i="47" s="1"/>
  <c r="H30" i="12"/>
  <c r="H89" i="6"/>
  <c r="E37" i="41"/>
  <c r="E34" i="41" s="1"/>
  <c r="E40" i="41" s="1"/>
  <c r="O57" i="10"/>
  <c r="O28" i="10"/>
  <c r="E18" i="42"/>
  <c r="C78" i="41"/>
  <c r="C61" i="1" s="1"/>
  <c r="A18" i="42"/>
  <c r="F57" i="10"/>
  <c r="G39" i="28"/>
  <c r="G30" i="11"/>
  <c r="M57" i="10"/>
  <c r="M28" i="10"/>
  <c r="D164" i="6"/>
  <c r="K57" i="10"/>
  <c r="K28" i="10"/>
  <c r="N57" i="10"/>
  <c r="N28" i="10"/>
  <c r="C76" i="41" l="1"/>
  <c r="O30" i="12"/>
  <c r="O198" i="47"/>
  <c r="O199" i="47" s="1"/>
  <c r="O89" i="6"/>
  <c r="L37" i="41"/>
  <c r="L34" i="41" s="1"/>
  <c r="L40" i="41" s="1"/>
  <c r="K30" i="12"/>
  <c r="K89" i="6"/>
  <c r="K198" i="47"/>
  <c r="K199" i="47" s="1"/>
  <c r="H37" i="41"/>
  <c r="H34" i="41" s="1"/>
  <c r="H40" i="41" s="1"/>
  <c r="M198" i="47"/>
  <c r="M199" i="47" s="1"/>
  <c r="M30" i="12"/>
  <c r="M89" i="6"/>
  <c r="J37" i="41"/>
  <c r="J34" i="41" s="1"/>
  <c r="J40" i="41" s="1"/>
  <c r="G77" i="47"/>
  <c r="H124" i="47"/>
  <c r="H177" i="47" s="1"/>
  <c r="G89" i="6"/>
  <c r="G30" i="12"/>
  <c r="G198" i="47"/>
  <c r="G199" i="47" s="1"/>
  <c r="D37" i="41"/>
  <c r="D34" i="41" s="1"/>
  <c r="D40" i="41" s="1"/>
  <c r="E16" i="42"/>
  <c r="A16" i="42"/>
  <c r="F198" i="47"/>
  <c r="F30" i="12"/>
  <c r="F89" i="6"/>
  <c r="C37" i="41"/>
  <c r="J89" i="6"/>
  <c r="J30" i="12"/>
  <c r="J198" i="47"/>
  <c r="J199" i="47" s="1"/>
  <c r="G37" i="41"/>
  <c r="G34" i="41" s="1"/>
  <c r="G40" i="41" s="1"/>
  <c r="M11" i="47"/>
  <c r="M13" i="47" s="1"/>
  <c r="G11" i="47"/>
  <c r="G13" i="47" s="1"/>
  <c r="D14" i="47"/>
  <c r="L11" i="47"/>
  <c r="L13" i="47" s="1"/>
  <c r="K11" i="47"/>
  <c r="K13" i="47" s="1"/>
  <c r="O11" i="47"/>
  <c r="O13" i="47" s="1"/>
  <c r="D11" i="47"/>
  <c r="I11" i="47"/>
  <c r="I13" i="47" s="1"/>
  <c r="J11" i="47"/>
  <c r="J13" i="47" s="1"/>
  <c r="H11" i="47"/>
  <c r="H13" i="47" s="1"/>
  <c r="N11" i="47"/>
  <c r="N13" i="47" s="1"/>
  <c r="F11" i="47"/>
  <c r="F13" i="47" s="1"/>
  <c r="F83" i="47"/>
  <c r="L32" i="12"/>
  <c r="L90" i="6"/>
  <c r="D57" i="10"/>
  <c r="D59" i="10" s="1"/>
  <c r="F59" i="10"/>
  <c r="H32" i="12"/>
  <c r="H90" i="6"/>
  <c r="N30" i="12"/>
  <c r="N198" i="47"/>
  <c r="N199" i="47" s="1"/>
  <c r="N89" i="6"/>
  <c r="K37" i="41"/>
  <c r="K34" i="41" s="1"/>
  <c r="K40" i="41" s="1"/>
  <c r="G36" i="11"/>
  <c r="F86" i="6"/>
  <c r="F25" i="9"/>
  <c r="D39" i="28"/>
  <c r="I32" i="12"/>
  <c r="I90" i="6"/>
  <c r="C82" i="41" l="1"/>
  <c r="C59" i="1"/>
  <c r="E20" i="41"/>
  <c r="H26" i="47"/>
  <c r="D15" i="47"/>
  <c r="E24" i="41" s="1"/>
  <c r="G32" i="12"/>
  <c r="G90" i="6"/>
  <c r="F5" i="16"/>
  <c r="F17" i="17"/>
  <c r="F67" i="6"/>
  <c r="F19" i="9"/>
  <c r="F12" i="9" s="1"/>
  <c r="F21" i="9" s="1"/>
  <c r="G5" i="10"/>
  <c r="G59" i="10" s="1"/>
  <c r="F23" i="9"/>
  <c r="F87" i="6"/>
  <c r="F69" i="6"/>
  <c r="J32" i="12"/>
  <c r="J90" i="6"/>
  <c r="G83" i="47"/>
  <c r="F12" i="47"/>
  <c r="H77" i="47"/>
  <c r="I124" i="47"/>
  <c r="I177" i="47" s="1"/>
  <c r="G86" i="6"/>
  <c r="G25" i="9"/>
  <c r="H36" i="11"/>
  <c r="D13" i="47"/>
  <c r="E23" i="41" s="1"/>
  <c r="C34" i="41"/>
  <c r="M37" i="41"/>
  <c r="K90" i="6"/>
  <c r="K32" i="12"/>
  <c r="E21" i="41"/>
  <c r="H35" i="47"/>
  <c r="D89" i="6"/>
  <c r="F90" i="6"/>
  <c r="D30" i="12"/>
  <c r="D32" i="12" s="1"/>
  <c r="F32" i="12"/>
  <c r="D198" i="47"/>
  <c r="F199" i="47"/>
  <c r="D199" i="47" s="1"/>
  <c r="M32" i="12"/>
  <c r="M90" i="6"/>
  <c r="N90" i="6"/>
  <c r="N32" i="12"/>
  <c r="O32" i="12"/>
  <c r="O90" i="6"/>
  <c r="F40" i="9" l="1"/>
  <c r="F42" i="9" s="1"/>
  <c r="C40" i="41"/>
  <c r="M40" i="41" s="1"/>
  <c r="G12" i="47"/>
  <c r="H83" i="47"/>
  <c r="H25" i="9"/>
  <c r="H86" i="6"/>
  <c r="I36" i="11"/>
  <c r="G17" i="17"/>
  <c r="G67" i="6"/>
  <c r="G5" i="16"/>
  <c r="G19" i="9"/>
  <c r="G12" i="9" s="1"/>
  <c r="G21" i="9" s="1"/>
  <c r="H5" i="10"/>
  <c r="H59" i="10" s="1"/>
  <c r="G87" i="6"/>
  <c r="G69" i="6"/>
  <c r="G23" i="9"/>
  <c r="F68" i="6"/>
  <c r="L6" i="12"/>
  <c r="L8" i="12" s="1"/>
  <c r="G6" i="12"/>
  <c r="G8" i="12" s="1"/>
  <c r="D6" i="12"/>
  <c r="C20" i="41" s="1"/>
  <c r="D9" i="12"/>
  <c r="K6" i="12"/>
  <c r="K8" i="12" s="1"/>
  <c r="M6" i="12"/>
  <c r="M8" i="12" s="1"/>
  <c r="J6" i="12"/>
  <c r="J8" i="12" s="1"/>
  <c r="O6" i="12"/>
  <c r="O8" i="12" s="1"/>
  <c r="I6" i="12"/>
  <c r="I8" i="12" s="1"/>
  <c r="H6" i="12"/>
  <c r="H8" i="12" s="1"/>
  <c r="N6" i="12"/>
  <c r="N8" i="12" s="1"/>
  <c r="F6" i="12"/>
  <c r="F8" i="12" s="1"/>
  <c r="F33" i="12"/>
  <c r="I77" i="47"/>
  <c r="J124" i="47"/>
  <c r="J177" i="47" s="1"/>
  <c r="D90" i="6"/>
  <c r="F66" i="6" l="1"/>
  <c r="G40" i="9"/>
  <c r="G42" i="9" s="1"/>
  <c r="G33" i="12"/>
  <c r="F7" i="12"/>
  <c r="D124" i="1"/>
  <c r="C21" i="41"/>
  <c r="D70" i="1"/>
  <c r="I83" i="47"/>
  <c r="H12" i="47"/>
  <c r="D71" i="1"/>
  <c r="D10" i="12"/>
  <c r="D125" i="1"/>
  <c r="Q11" i="47"/>
  <c r="Q12" i="47" s="1"/>
  <c r="H5" i="16"/>
  <c r="H67" i="6"/>
  <c r="H17" i="17"/>
  <c r="I5" i="10"/>
  <c r="I59" i="10" s="1"/>
  <c r="H19" i="9"/>
  <c r="H12" i="9" s="1"/>
  <c r="H21" i="9" s="1"/>
  <c r="D8" i="12"/>
  <c r="G68" i="6"/>
  <c r="I86" i="6"/>
  <c r="I25" i="9"/>
  <c r="J36" i="11"/>
  <c r="J77" i="47"/>
  <c r="K124" i="47"/>
  <c r="K177" i="47" s="1"/>
  <c r="H69" i="6"/>
  <c r="H87" i="6"/>
  <c r="H23" i="9"/>
  <c r="G66" i="6" l="1"/>
  <c r="H40" i="9"/>
  <c r="H66" i="6" s="1"/>
  <c r="H68" i="6"/>
  <c r="I12" i="47"/>
  <c r="J83" i="47"/>
  <c r="I67" i="6"/>
  <c r="I17" i="17"/>
  <c r="I5" i="16"/>
  <c r="I19" i="9"/>
  <c r="I12" i="9" s="1"/>
  <c r="I21" i="9" s="1"/>
  <c r="J5" i="10"/>
  <c r="J59" i="10" s="1"/>
  <c r="J25" i="9"/>
  <c r="J86" i="6"/>
  <c r="K36" i="11"/>
  <c r="H33" i="12"/>
  <c r="G7" i="12"/>
  <c r="D128" i="1"/>
  <c r="D76" i="1"/>
  <c r="C24" i="41"/>
  <c r="I69" i="6"/>
  <c r="I23" i="9"/>
  <c r="I87" i="6"/>
  <c r="K77" i="47"/>
  <c r="L124" i="47"/>
  <c r="L177" i="47" s="1"/>
  <c r="D73" i="1"/>
  <c r="C23" i="41"/>
  <c r="D127" i="1"/>
  <c r="H42" i="9" l="1"/>
  <c r="I40" i="9"/>
  <c r="I42" i="9" s="1"/>
  <c r="L77" i="47"/>
  <c r="M124" i="47"/>
  <c r="M177" i="47" s="1"/>
  <c r="H7" i="12"/>
  <c r="I33" i="12"/>
  <c r="J67" i="6"/>
  <c r="J17" i="17"/>
  <c r="J5" i="16"/>
  <c r="K5" i="10"/>
  <c r="K59" i="10" s="1"/>
  <c r="J19" i="9"/>
  <c r="J12" i="9" s="1"/>
  <c r="J21" i="9" s="1"/>
  <c r="I68" i="6"/>
  <c r="K86" i="6"/>
  <c r="K25" i="9"/>
  <c r="L36" i="11"/>
  <c r="J87" i="6"/>
  <c r="J23" i="9"/>
  <c r="J69" i="6"/>
  <c r="K83" i="47"/>
  <c r="J12" i="47"/>
  <c r="I66" i="6" l="1"/>
  <c r="J40" i="9"/>
  <c r="J66" i="6" s="1"/>
  <c r="L83" i="47"/>
  <c r="K12" i="47"/>
  <c r="K87" i="6"/>
  <c r="K69" i="6"/>
  <c r="K23" i="9"/>
  <c r="I7" i="12"/>
  <c r="J33" i="12"/>
  <c r="M77" i="47"/>
  <c r="N124" i="47"/>
  <c r="N177" i="47" s="1"/>
  <c r="K17" i="17"/>
  <c r="K67" i="6"/>
  <c r="K5" i="16"/>
  <c r="K19" i="9"/>
  <c r="K12" i="9" s="1"/>
  <c r="K21" i="9" s="1"/>
  <c r="L5" i="10"/>
  <c r="L59" i="10" s="1"/>
  <c r="L86" i="6"/>
  <c r="L25" i="9"/>
  <c r="M36" i="11"/>
  <c r="J68" i="6"/>
  <c r="J42" i="9" l="1"/>
  <c r="K40" i="9"/>
  <c r="K42" i="9" s="1"/>
  <c r="L69" i="6"/>
  <c r="L87" i="6"/>
  <c r="L23" i="9"/>
  <c r="L12" i="47"/>
  <c r="M83" i="47"/>
  <c r="J7" i="12"/>
  <c r="K33" i="12"/>
  <c r="L5" i="16"/>
  <c r="L67" i="6"/>
  <c r="L17" i="17"/>
  <c r="L19" i="9"/>
  <c r="L12" i="9" s="1"/>
  <c r="L21" i="9" s="1"/>
  <c r="M5" i="10"/>
  <c r="M59" i="10" s="1"/>
  <c r="K68" i="6"/>
  <c r="O124" i="47"/>
  <c r="O177" i="47" s="1"/>
  <c r="O77" i="47" s="1"/>
  <c r="N77" i="47"/>
  <c r="M86" i="6"/>
  <c r="M25" i="9"/>
  <c r="N36" i="11"/>
  <c r="K66" i="6" l="1"/>
  <c r="L40" i="9"/>
  <c r="L42" i="9" s="1"/>
  <c r="M5" i="16"/>
  <c r="M17" i="17"/>
  <c r="M67" i="6"/>
  <c r="M19" i="9"/>
  <c r="M12" i="9" s="1"/>
  <c r="M21" i="9" s="1"/>
  <c r="N5" i="10"/>
  <c r="N59" i="10" s="1"/>
  <c r="K7" i="12"/>
  <c r="L33" i="12"/>
  <c r="L68" i="6"/>
  <c r="N83" i="47"/>
  <c r="M12" i="47"/>
  <c r="N86" i="6"/>
  <c r="O36" i="11"/>
  <c r="N25" i="9"/>
  <c r="M69" i="6"/>
  <c r="M87" i="6"/>
  <c r="M23" i="9"/>
  <c r="L66" i="6" l="1"/>
  <c r="M40" i="9"/>
  <c r="M42" i="9" s="1"/>
  <c r="N17" i="17"/>
  <c r="N67" i="6"/>
  <c r="N5" i="16"/>
  <c r="O5" i="10"/>
  <c r="O59" i="10" s="1"/>
  <c r="N19" i="9"/>
  <c r="N12" i="9" s="1"/>
  <c r="N21" i="9" s="1"/>
  <c r="O25" i="9"/>
  <c r="O86" i="6"/>
  <c r="D86" i="6" s="1"/>
  <c r="N87" i="6"/>
  <c r="N69" i="6"/>
  <c r="N23" i="9"/>
  <c r="N12" i="47"/>
  <c r="O83" i="47"/>
  <c r="O12" i="47" s="1"/>
  <c r="L7" i="12"/>
  <c r="M33" i="12"/>
  <c r="M68" i="6"/>
  <c r="M66" i="6" l="1"/>
  <c r="D12" i="47"/>
  <c r="E22" i="41" s="1"/>
  <c r="N40" i="9"/>
  <c r="N42" i="9" s="1"/>
  <c r="O67" i="6"/>
  <c r="D67" i="6" s="1"/>
  <c r="O17" i="17"/>
  <c r="O5" i="16"/>
  <c r="O19" i="9"/>
  <c r="O12" i="9" s="1"/>
  <c r="O21" i="9" s="1"/>
  <c r="O23" i="9"/>
  <c r="O87" i="6"/>
  <c r="D87" i="6" s="1"/>
  <c r="O69" i="6"/>
  <c r="D69" i="6" s="1"/>
  <c r="N68" i="6"/>
  <c r="N33" i="12"/>
  <c r="M7" i="12"/>
  <c r="N66" i="6" l="1"/>
  <c r="O40" i="9"/>
  <c r="O42" i="9" s="1"/>
  <c r="O68" i="6"/>
  <c r="D68" i="6" s="1"/>
  <c r="N7" i="12"/>
  <c r="O33" i="12"/>
  <c r="O7" i="12" s="1"/>
  <c r="O66" i="6" l="1"/>
  <c r="D7" i="12"/>
  <c r="C22" i="41" s="1"/>
  <c r="D66" i="6" l="1"/>
  <c r="D72" i="1"/>
  <c r="D126" i="1"/>
  <c r="H25" i="28" l="1"/>
  <c r="G25" i="28"/>
  <c r="F25" i="28"/>
  <c r="F19" i="29" l="1"/>
  <c r="F27" i="28"/>
  <c r="F29" i="28" s="1"/>
  <c r="F26" i="42"/>
  <c r="G19" i="29"/>
  <c r="G27" i="28"/>
  <c r="G29" i="28" s="1"/>
  <c r="G26" i="42"/>
  <c r="H19" i="29"/>
  <c r="H27" i="28"/>
  <c r="H29" i="28" s="1"/>
  <c r="H26" i="42"/>
  <c r="G6" i="25"/>
  <c r="G16" i="25" s="1"/>
  <c r="H26" i="28"/>
  <c r="F6" i="25"/>
  <c r="F17" i="25" s="1"/>
  <c r="H6" i="25"/>
  <c r="H17" i="25" s="1"/>
  <c r="H33" i="25" s="1"/>
  <c r="F32" i="28"/>
  <c r="F33" i="28" s="1"/>
  <c r="G26" i="28"/>
  <c r="H32" i="28"/>
  <c r="H33" i="28" s="1"/>
  <c r="F26" i="28"/>
  <c r="G32" i="28"/>
  <c r="G33" i="28" s="1"/>
  <c r="G17" i="25" l="1"/>
  <c r="G15" i="25" s="1"/>
  <c r="F16" i="25"/>
  <c r="F32" i="25" s="1"/>
  <c r="H16" i="25"/>
  <c r="H24" i="42" s="1"/>
  <c r="H25" i="42"/>
  <c r="H32" i="42" s="1"/>
  <c r="G32" i="25"/>
  <c r="G24" i="42"/>
  <c r="F25" i="42"/>
  <c r="F33" i="25"/>
  <c r="G25" i="42" l="1"/>
  <c r="G32" i="42" s="1"/>
  <c r="G33" i="25"/>
  <c r="G31" i="25" s="1"/>
  <c r="F15" i="25"/>
  <c r="F22" i="29" s="1"/>
  <c r="F24" i="42"/>
  <c r="F31" i="42" s="1"/>
  <c r="H32" i="25"/>
  <c r="H31" i="25" s="1"/>
  <c r="H15" i="25"/>
  <c r="H22" i="29" s="1"/>
  <c r="H11" i="29" s="1"/>
  <c r="H31" i="42"/>
  <c r="H30" i="42" s="1"/>
  <c r="H23" i="42"/>
  <c r="G28" i="28"/>
  <c r="G22" i="29"/>
  <c r="G11" i="29" s="1"/>
  <c r="G31" i="42"/>
  <c r="F31" i="25"/>
  <c r="F32" i="42"/>
  <c r="G30" i="42" l="1"/>
  <c r="G23" i="42"/>
  <c r="F23" i="42"/>
  <c r="F28" i="28"/>
  <c r="H28" i="28"/>
  <c r="H30" i="28" s="1"/>
  <c r="F11" i="29"/>
  <c r="G56" i="29"/>
  <c r="G27" i="29"/>
  <c r="G29" i="32" s="1"/>
  <c r="G31" i="32" s="1"/>
  <c r="G30" i="28"/>
  <c r="G40" i="28"/>
  <c r="G41" i="28" s="1"/>
  <c r="G42" i="28" s="1"/>
  <c r="F30" i="42"/>
  <c r="H56" i="29"/>
  <c r="H27" i="29"/>
  <c r="H29" i="32" s="1"/>
  <c r="H31" i="32" s="1"/>
  <c r="H40" i="28" l="1"/>
  <c r="H41" i="28" s="1"/>
  <c r="H42" i="28" s="1"/>
  <c r="F40" i="28"/>
  <c r="F30" i="28"/>
  <c r="F36" i="28"/>
  <c r="F27" i="29"/>
  <c r="F29" i="32" s="1"/>
  <c r="F56" i="29"/>
  <c r="F58" i="29" l="1"/>
  <c r="F25" i="31"/>
  <c r="G36" i="28"/>
  <c r="F31" i="32"/>
  <c r="F41" i="28"/>
  <c r="F42" i="28" s="1"/>
  <c r="F23" i="31" l="1"/>
  <c r="F40" i="31" s="1"/>
  <c r="F76" i="6"/>
  <c r="H6" i="32"/>
  <c r="H8" i="32" s="1"/>
  <c r="G6" i="32"/>
  <c r="G8" i="32" s="1"/>
  <c r="F32" i="32"/>
  <c r="F6" i="32"/>
  <c r="F8" i="32" s="1"/>
  <c r="G25" i="31"/>
  <c r="H36" i="28"/>
  <c r="F19" i="31"/>
  <c r="F12" i="31" s="1"/>
  <c r="F21" i="31" s="1"/>
  <c r="G5" i="29"/>
  <c r="G58" i="29" s="1"/>
  <c r="F75" i="6" l="1"/>
  <c r="G76" i="6"/>
  <c r="G23" i="31"/>
  <c r="G40" i="31" s="1"/>
  <c r="F42" i="31"/>
  <c r="F73" i="6"/>
  <c r="G32" i="32"/>
  <c r="F7" i="32"/>
  <c r="H5" i="29"/>
  <c r="H58" i="29" s="1"/>
  <c r="G19" i="31"/>
  <c r="G12" i="31" s="1"/>
  <c r="G21" i="31" s="1"/>
  <c r="H25" i="31"/>
  <c r="F64" i="6" l="1"/>
  <c r="G73" i="6"/>
  <c r="G42" i="31"/>
  <c r="H76" i="6"/>
  <c r="H23" i="31"/>
  <c r="H40" i="31" s="1"/>
  <c r="G7" i="32"/>
  <c r="H32" i="32"/>
  <c r="H19" i="31"/>
  <c r="H12" i="31" s="1"/>
  <c r="H21" i="31" s="1"/>
  <c r="I5" i="29"/>
  <c r="G75" i="6"/>
  <c r="G64" i="6" l="1"/>
  <c r="G1" i="6" s="1"/>
  <c r="H75" i="6"/>
  <c r="H73" i="6"/>
  <c r="H42" i="31"/>
  <c r="F1" i="6"/>
  <c r="H7" i="32"/>
  <c r="D25" i="28"/>
  <c r="L25" i="28"/>
  <c r="M25" i="28"/>
  <c r="O25" i="28"/>
  <c r="J25" i="28"/>
  <c r="K25" i="28"/>
  <c r="N25" i="28"/>
  <c r="I25" i="28"/>
  <c r="L26" i="42" l="1"/>
  <c r="H64" i="6"/>
  <c r="H1" i="6" s="1"/>
  <c r="K26" i="28"/>
  <c r="K26" i="42"/>
  <c r="N6" i="25"/>
  <c r="N16" i="25" s="1"/>
  <c r="N26" i="42"/>
  <c r="J26" i="28"/>
  <c r="J26" i="42"/>
  <c r="O26" i="28"/>
  <c r="O26" i="42"/>
  <c r="M26" i="28"/>
  <c r="M26" i="42"/>
  <c r="I26" i="28"/>
  <c r="I26" i="42"/>
  <c r="J32" i="28"/>
  <c r="J33" i="28" s="1"/>
  <c r="K6" i="25"/>
  <c r="K16" i="25" s="1"/>
  <c r="K32" i="25" s="1"/>
  <c r="C74" i="1"/>
  <c r="C75" i="1"/>
  <c r="D26" i="28"/>
  <c r="D32" i="28"/>
  <c r="D33" i="28" s="1"/>
  <c r="N32" i="28"/>
  <c r="N33" i="28" s="1"/>
  <c r="L32" i="28"/>
  <c r="L33" i="28" s="1"/>
  <c r="M32" i="28"/>
  <c r="M33" i="28" s="1"/>
  <c r="I32" i="28"/>
  <c r="I33" i="28" s="1"/>
  <c r="N26" i="28"/>
  <c r="M6" i="25"/>
  <c r="L6" i="25"/>
  <c r="L26" i="28"/>
  <c r="O6" i="25"/>
  <c r="J6" i="25"/>
  <c r="O32" i="28"/>
  <c r="O33" i="28" s="1"/>
  <c r="K32" i="28"/>
  <c r="K33" i="28" s="1"/>
  <c r="I6" i="25"/>
  <c r="N17" i="25" l="1"/>
  <c r="N33" i="25" s="1"/>
  <c r="K17" i="25"/>
  <c r="K15" i="25" s="1"/>
  <c r="K24" i="42"/>
  <c r="K31" i="42" s="1"/>
  <c r="K19" i="29"/>
  <c r="K27" i="28"/>
  <c r="K29" i="28" s="1"/>
  <c r="O19" i="29"/>
  <c r="O27" i="28"/>
  <c r="O29" i="28" s="1"/>
  <c r="I19" i="29"/>
  <c r="I27" i="28"/>
  <c r="I29" i="28" s="1"/>
  <c r="M19" i="29"/>
  <c r="M27" i="28"/>
  <c r="M29" i="28" s="1"/>
  <c r="J19" i="29"/>
  <c r="J27" i="28"/>
  <c r="J29" i="28" s="1"/>
  <c r="L19" i="29"/>
  <c r="L27" i="28"/>
  <c r="L29" i="28" s="1"/>
  <c r="N19" i="29"/>
  <c r="N27" i="28"/>
  <c r="N29" i="28" s="1"/>
  <c r="N24" i="42"/>
  <c r="N32" i="25"/>
  <c r="M16" i="25"/>
  <c r="M17" i="25"/>
  <c r="J16" i="25"/>
  <c r="J17" i="25"/>
  <c r="I17" i="25"/>
  <c r="I16" i="25"/>
  <c r="D6" i="25"/>
  <c r="O16" i="25"/>
  <c r="O17" i="25"/>
  <c r="L16" i="25"/>
  <c r="L17" i="25"/>
  <c r="N15" i="25" l="1"/>
  <c r="N28" i="28" s="1"/>
  <c r="N25" i="42"/>
  <c r="N32" i="42" s="1"/>
  <c r="K25" i="42"/>
  <c r="K33" i="25"/>
  <c r="K31" i="25" s="1"/>
  <c r="D19" i="29"/>
  <c r="M33" i="25"/>
  <c r="M25" i="42"/>
  <c r="M32" i="42" s="1"/>
  <c r="O25" i="42"/>
  <c r="O32" i="42" s="1"/>
  <c r="O33" i="25"/>
  <c r="D16" i="25"/>
  <c r="I15" i="25"/>
  <c r="I24" i="42"/>
  <c r="I32" i="25"/>
  <c r="M24" i="42"/>
  <c r="M15" i="25"/>
  <c r="M32" i="25"/>
  <c r="J15" i="25"/>
  <c r="J24" i="42"/>
  <c r="J32" i="25"/>
  <c r="K28" i="28"/>
  <c r="K22" i="29"/>
  <c r="K11" i="29" s="1"/>
  <c r="L25" i="42"/>
  <c r="L32" i="42" s="1"/>
  <c r="L33" i="25"/>
  <c r="L15" i="25"/>
  <c r="L32" i="25"/>
  <c r="L24" i="42"/>
  <c r="N31" i="25"/>
  <c r="D17" i="25"/>
  <c r="I25" i="42"/>
  <c r="I32" i="42" s="1"/>
  <c r="I33" i="25"/>
  <c r="O15" i="25"/>
  <c r="O24" i="42"/>
  <c r="O32" i="25"/>
  <c r="J25" i="42"/>
  <c r="J32" i="42" s="1"/>
  <c r="J33" i="25"/>
  <c r="N31" i="42"/>
  <c r="K32" i="42" l="1"/>
  <c r="K30" i="42" s="1"/>
  <c r="K23" i="42"/>
  <c r="N23" i="42"/>
  <c r="N22" i="29"/>
  <c r="N11" i="29" s="1"/>
  <c r="N27" i="29" s="1"/>
  <c r="N29" i="32" s="1"/>
  <c r="N31" i="32" s="1"/>
  <c r="N30" i="42"/>
  <c r="J31" i="25"/>
  <c r="O31" i="25"/>
  <c r="M31" i="25"/>
  <c r="L31" i="25"/>
  <c r="K56" i="29"/>
  <c r="K27" i="29"/>
  <c r="K29" i="32" s="1"/>
  <c r="K31" i="32" s="1"/>
  <c r="I31" i="25"/>
  <c r="D32" i="25"/>
  <c r="A32" i="25" s="1"/>
  <c r="K40" i="28"/>
  <c r="K41" i="28" s="1"/>
  <c r="K42" i="28" s="1"/>
  <c r="K30" i="28"/>
  <c r="I22" i="29"/>
  <c r="I28" i="28"/>
  <c r="D15" i="25"/>
  <c r="J23" i="42"/>
  <c r="J31" i="42"/>
  <c r="J30" i="42" s="1"/>
  <c r="O31" i="42"/>
  <c r="O30" i="42" s="1"/>
  <c r="O23" i="42"/>
  <c r="J28" i="28"/>
  <c r="J22" i="29"/>
  <c r="J11" i="29" s="1"/>
  <c r="D24" i="42"/>
  <c r="I23" i="42"/>
  <c r="I31" i="42"/>
  <c r="O28" i="28"/>
  <c r="O22" i="29"/>
  <c r="O11" i="29" s="1"/>
  <c r="L22" i="29"/>
  <c r="L11" i="29" s="1"/>
  <c r="L28" i="28"/>
  <c r="N30" i="28"/>
  <c r="N40" i="28"/>
  <c r="N41" i="28" s="1"/>
  <c r="N42" i="28" s="1"/>
  <c r="D33" i="25"/>
  <c r="A33" i="25" s="1"/>
  <c r="M28" i="28"/>
  <c r="M22" i="29"/>
  <c r="M11" i="29" s="1"/>
  <c r="L23" i="42"/>
  <c r="L31" i="42"/>
  <c r="L30" i="42" s="1"/>
  <c r="D25" i="42"/>
  <c r="M23" i="42"/>
  <c r="M31" i="42"/>
  <c r="M30" i="42" s="1"/>
  <c r="D32" i="42" l="1"/>
  <c r="N56" i="29"/>
  <c r="D31" i="25"/>
  <c r="A31" i="25" s="1"/>
  <c r="D23" i="42"/>
  <c r="A24" i="42"/>
  <c r="D73" i="41"/>
  <c r="D28" i="28"/>
  <c r="D29" i="28" s="1"/>
  <c r="D22" i="29"/>
  <c r="D11" i="29" s="1"/>
  <c r="D27" i="29" s="1"/>
  <c r="I11" i="29"/>
  <c r="J30" i="28"/>
  <c r="J40" i="28"/>
  <c r="J41" i="28" s="1"/>
  <c r="J42" i="28" s="1"/>
  <c r="A25" i="42"/>
  <c r="L56" i="29"/>
  <c r="L27" i="29"/>
  <c r="L29" i="32" s="1"/>
  <c r="L31" i="32" s="1"/>
  <c r="L40" i="28"/>
  <c r="L41" i="28" s="1"/>
  <c r="L42" i="28" s="1"/>
  <c r="L30" i="28"/>
  <c r="J27" i="29"/>
  <c r="J29" i="32" s="1"/>
  <c r="J31" i="32" s="1"/>
  <c r="J56" i="29"/>
  <c r="O56" i="29"/>
  <c r="O27" i="29"/>
  <c r="O29" i="32" s="1"/>
  <c r="O31" i="32" s="1"/>
  <c r="O30" i="28"/>
  <c r="O40" i="28"/>
  <c r="O41" i="28" s="1"/>
  <c r="O42" i="28" s="1"/>
  <c r="M30" i="28"/>
  <c r="M40" i="28"/>
  <c r="M41" i="28" s="1"/>
  <c r="M42" i="28" s="1"/>
  <c r="D31" i="42"/>
  <c r="I30" i="42"/>
  <c r="M27" i="29"/>
  <c r="M29" i="32" s="1"/>
  <c r="M31" i="32" s="1"/>
  <c r="M56" i="29"/>
  <c r="D78" i="41"/>
  <c r="C65" i="1" s="1"/>
  <c r="E32" i="42"/>
  <c r="I27" i="29" l="1"/>
  <c r="I29" i="32" s="1"/>
  <c r="I56" i="29"/>
  <c r="I40" i="28"/>
  <c r="I36" i="28"/>
  <c r="I30" i="28"/>
  <c r="D30" i="28"/>
  <c r="F46" i="28" s="1"/>
  <c r="F45" i="28"/>
  <c r="E23" i="42"/>
  <c r="A23" i="42"/>
  <c r="D77" i="41"/>
  <c r="C117" i="1"/>
  <c r="E31" i="42"/>
  <c r="D30" i="42"/>
  <c r="E30" i="42" s="1"/>
  <c r="D76" i="41" l="1"/>
  <c r="D82" i="41" s="1"/>
  <c r="C64" i="1"/>
  <c r="J36" i="28"/>
  <c r="I25" i="31"/>
  <c r="D40" i="28"/>
  <c r="D41" i="28" s="1"/>
  <c r="D42" i="28" s="1"/>
  <c r="I41" i="28"/>
  <c r="I42" i="28" s="1"/>
  <c r="D56" i="29"/>
  <c r="D58" i="29" s="1"/>
  <c r="I58" i="29"/>
  <c r="D29" i="32"/>
  <c r="D31" i="32" s="1"/>
  <c r="I31" i="32"/>
  <c r="C63" i="1" l="1"/>
  <c r="J5" i="29"/>
  <c r="J58" i="29" s="1"/>
  <c r="I19" i="31"/>
  <c r="I12" i="31" s="1"/>
  <c r="I21" i="31" s="1"/>
  <c r="D6" i="32"/>
  <c r="L6" i="32"/>
  <c r="L8" i="32" s="1"/>
  <c r="I6" i="32"/>
  <c r="I8" i="32" s="1"/>
  <c r="J6" i="32"/>
  <c r="J8" i="32" s="1"/>
  <c r="D9" i="32"/>
  <c r="M6" i="32"/>
  <c r="M8" i="32" s="1"/>
  <c r="I32" i="32"/>
  <c r="O6" i="32"/>
  <c r="O8" i="32" s="1"/>
  <c r="N6" i="32"/>
  <c r="N8" i="32" s="1"/>
  <c r="K6" i="32"/>
  <c r="K8" i="32" s="1"/>
  <c r="I23" i="31"/>
  <c r="I40" i="31" s="1"/>
  <c r="I76" i="6"/>
  <c r="K36" i="28"/>
  <c r="J25" i="31"/>
  <c r="D21" i="41" l="1"/>
  <c r="C70" i="1"/>
  <c r="C124" i="1"/>
  <c r="D8" i="32"/>
  <c r="K25" i="31"/>
  <c r="L36" i="28"/>
  <c r="D10" i="32"/>
  <c r="C71" i="1"/>
  <c r="D20" i="41"/>
  <c r="C125" i="1"/>
  <c r="I42" i="31"/>
  <c r="I73" i="6"/>
  <c r="I7" i="32"/>
  <c r="J32" i="32"/>
  <c r="J19" i="31"/>
  <c r="J12" i="31" s="1"/>
  <c r="J21" i="31" s="1"/>
  <c r="K5" i="29"/>
  <c r="K58" i="29" s="1"/>
  <c r="J23" i="31"/>
  <c r="J40" i="31" s="1"/>
  <c r="J76" i="6"/>
  <c r="I75" i="6"/>
  <c r="J75" i="6" l="1"/>
  <c r="D24" i="41"/>
  <c r="C128" i="1"/>
  <c r="C76" i="1"/>
  <c r="K32" i="32"/>
  <c r="J7" i="32"/>
  <c r="K76" i="6"/>
  <c r="K23" i="31"/>
  <c r="K40" i="31" s="1"/>
  <c r="I64" i="6"/>
  <c r="D23" i="41"/>
  <c r="C127" i="1"/>
  <c r="C73" i="1"/>
  <c r="K19" i="31"/>
  <c r="K12" i="31" s="1"/>
  <c r="K21" i="31" s="1"/>
  <c r="L5" i="29"/>
  <c r="L58" i="29" s="1"/>
  <c r="L25" i="31"/>
  <c r="M36" i="28"/>
  <c r="J42" i="31"/>
  <c r="J73" i="6"/>
  <c r="J64" i="6" l="1"/>
  <c r="J1" i="6" s="1"/>
  <c r="L19" i="31"/>
  <c r="L12" i="31" s="1"/>
  <c r="L21" i="31" s="1"/>
  <c r="M5" i="29"/>
  <c r="M58" i="29" s="1"/>
  <c r="K42" i="31"/>
  <c r="K73" i="6"/>
  <c r="L32" i="32"/>
  <c r="K7" i="32"/>
  <c r="N36" i="28"/>
  <c r="M25" i="31"/>
  <c r="L23" i="31"/>
  <c r="L40" i="31" s="1"/>
  <c r="L76" i="6"/>
  <c r="K75" i="6"/>
  <c r="I1" i="6"/>
  <c r="K64" i="6" l="1"/>
  <c r="K1" i="6" s="1"/>
  <c r="L75" i="6"/>
  <c r="M32" i="32"/>
  <c r="L7" i="32"/>
  <c r="M76" i="6"/>
  <c r="M23" i="31"/>
  <c r="M40" i="31" s="1"/>
  <c r="M19" i="31"/>
  <c r="M12" i="31" s="1"/>
  <c r="M21" i="31" s="1"/>
  <c r="N5" i="29"/>
  <c r="N58" i="29" s="1"/>
  <c r="N25" i="31"/>
  <c r="O36" i="28"/>
  <c r="O25" i="31" s="1"/>
  <c r="L42" i="31"/>
  <c r="L73" i="6"/>
  <c r="L64" i="6" l="1"/>
  <c r="L1" i="6" s="1"/>
  <c r="M42" i="31"/>
  <c r="M73" i="6"/>
  <c r="N23" i="31"/>
  <c r="N40" i="31" s="1"/>
  <c r="N76" i="6"/>
  <c r="N19" i="31"/>
  <c r="N12" i="31" s="1"/>
  <c r="N21" i="31" s="1"/>
  <c r="O5" i="29"/>
  <c r="O58" i="29" s="1"/>
  <c r="O76" i="6"/>
  <c r="O23" i="31"/>
  <c r="O40" i="31" s="1"/>
  <c r="M75" i="6"/>
  <c r="M7" i="32"/>
  <c r="N32" i="32"/>
  <c r="D76" i="6" l="1"/>
  <c r="O19" i="31"/>
  <c r="O12" i="31" s="1"/>
  <c r="O21" i="31" s="1"/>
  <c r="N42" i="31"/>
  <c r="N73" i="6"/>
  <c r="O32" i="32"/>
  <c r="O7" i="32" s="1"/>
  <c r="N7" i="32"/>
  <c r="N75" i="6"/>
  <c r="M64" i="6"/>
  <c r="O75" i="6" l="1"/>
  <c r="D75" i="6" s="1"/>
  <c r="D7" i="32"/>
  <c r="C126" i="1" s="1"/>
  <c r="N64" i="6"/>
  <c r="N1" i="6" s="1"/>
  <c r="M1" i="6"/>
  <c r="O73" i="6"/>
  <c r="O42" i="31"/>
  <c r="O64" i="6" l="1"/>
  <c r="O1" i="6" s="1"/>
  <c r="C72" i="1"/>
  <c r="D22" i="41"/>
  <c r="D73" i="6"/>
  <c r="Q1" i="6" l="1"/>
  <c r="I1" i="29" s="1"/>
  <c r="C3" i="37" l="1"/>
  <c r="I1" i="23"/>
  <c r="I1" i="19"/>
  <c r="B2" i="51"/>
  <c r="I1" i="31"/>
  <c r="M1" i="9"/>
  <c r="I1" i="16"/>
  <c r="N1" i="27"/>
  <c r="I1" i="32"/>
  <c r="I1" i="15"/>
  <c r="I1" i="28"/>
  <c r="I1" i="48"/>
  <c r="I1" i="5"/>
  <c r="I1" i="25"/>
  <c r="I1" i="22"/>
  <c r="I1" i="7"/>
  <c r="I1" i="26"/>
  <c r="I1" i="20"/>
  <c r="I1" i="18"/>
  <c r="I1" i="47"/>
  <c r="C2" i="2"/>
  <c r="H1" i="14"/>
  <c r="I1" i="21"/>
  <c r="I1" i="12"/>
  <c r="I1" i="36"/>
  <c r="I1" i="42"/>
  <c r="I1" i="24"/>
  <c r="I1" i="13"/>
  <c r="M1" i="10"/>
  <c r="I1" i="17"/>
  <c r="M1" i="11"/>
</calcChain>
</file>

<file path=xl/sharedStrings.xml><?xml version="1.0" encoding="utf-8"?>
<sst xmlns="http://schemas.openxmlformats.org/spreadsheetml/2006/main" count="2888" uniqueCount="1239">
  <si>
    <t>Оглавление</t>
  </si>
  <si>
    <t>Легенда</t>
  </si>
  <si>
    <t>№</t>
  </si>
  <si>
    <t>Название</t>
  </si>
  <si>
    <t>Вид</t>
  </si>
  <si>
    <t>ячека ввода даты</t>
  </si>
  <si>
    <t>расчетные ячейки (не рекомендуется изменять)</t>
  </si>
  <si>
    <t>Итоговые расчетные ячейки (не рекомендуется изменять)</t>
  </si>
  <si>
    <t>Годы в шапке таблиц</t>
  </si>
  <si>
    <t>Ячейки контрольных значений (не рекомендуется изменять)</t>
  </si>
  <si>
    <t>или: Ячейки контрольных значений (не рекомендуется изменять)</t>
  </si>
  <si>
    <t>&lt;Заголовок листа&gt;</t>
  </si>
  <si>
    <t>Ед.изм.</t>
  </si>
  <si>
    <t>Пример листа для дублирования и создания рабочих листов</t>
  </si>
  <si>
    <t>https://cbr.ru/statistics/ddkp/</t>
  </si>
  <si>
    <t>МинЭк РФ № 626 16.11.2022</t>
  </si>
  <si>
    <t>Пример ячейки с сылкой на источники информации</t>
  </si>
  <si>
    <t>или Пример ячейки с сылкой на норм. документ</t>
  </si>
  <si>
    <t>Шапка таблицы</t>
  </si>
  <si>
    <t>тыс.руб.</t>
  </si>
  <si>
    <t>&lt;..&gt;</t>
  </si>
  <si>
    <t>Приложения</t>
  </si>
  <si>
    <t>Перечень документов: сметы договора, калькуляции, спецификации, разрешительная документация, аналитические исследования и т.д.</t>
  </si>
  <si>
    <t>Контроль</t>
  </si>
  <si>
    <t>Балансовое равенство</t>
  </si>
  <si>
    <t>Соотв. Измен. УК и добавочн. Капитала в Балансе и поступлений от выпуска акций или увелич. Долей участия или за счет вкладов участников</t>
  </si>
  <si>
    <t>Требования к ячекам и диапазонам листов excel-файла</t>
  </si>
  <si>
    <t>%</t>
  </si>
  <si>
    <t>Источник информации</t>
  </si>
  <si>
    <t>Описание</t>
  </si>
  <si>
    <t>Внеоборотные активы</t>
  </si>
  <si>
    <t>Нематериальные активы</t>
  </si>
  <si>
    <t>Основные средства</t>
  </si>
  <si>
    <t>Незавершенное строительство</t>
  </si>
  <si>
    <t>Долгосрочные финансовые вложения</t>
  </si>
  <si>
    <t>Отложенные налоговые активы</t>
  </si>
  <si>
    <t>Прочие внеоборотные активы</t>
  </si>
  <si>
    <t>Оборотные активы</t>
  </si>
  <si>
    <t>Запасы</t>
  </si>
  <si>
    <t>Незавершенное производство</t>
  </si>
  <si>
    <t>Инвестиционные авансы</t>
  </si>
  <si>
    <t>НДС к возмещению из бюджета</t>
  </si>
  <si>
    <t>Краткосрочные финансовые вложения</t>
  </si>
  <si>
    <t>Денежные средства и их эквиваленты</t>
  </si>
  <si>
    <t>Прочие оборотные активы</t>
  </si>
  <si>
    <t>ИТОГО АКТИВЫ</t>
  </si>
  <si>
    <t>Капитал</t>
  </si>
  <si>
    <t>Нераспределенная прибыль</t>
  </si>
  <si>
    <t>Долгосрочные обязательства</t>
  </si>
  <si>
    <t>Долгосрочные кредиты и займы</t>
  </si>
  <si>
    <t>Отложенные налоговые обязательства</t>
  </si>
  <si>
    <t>Прочие долгосрочные обязательства</t>
  </si>
  <si>
    <t>Краткосрочные обязательства</t>
  </si>
  <si>
    <t>Краткосрочные кредиты и займы</t>
  </si>
  <si>
    <t>Задолженность по процентам</t>
  </si>
  <si>
    <t>Задолженность участникам по выплате дивидендов</t>
  </si>
  <si>
    <t>Текущая задолженность перед поставщиками и подрядчиками</t>
  </si>
  <si>
    <t>Инвестиционная кредиторская задолженность</t>
  </si>
  <si>
    <t>НДС к уплате в бюджет</t>
  </si>
  <si>
    <t>Прочие краткосрочные обязательства</t>
  </si>
  <si>
    <t>ИТОГО КАПИТАЛ И ОБЯЗАТЕЛЬСТВА</t>
  </si>
  <si>
    <t>контроль</t>
  </si>
  <si>
    <t>I</t>
  </si>
  <si>
    <t>II</t>
  </si>
  <si>
    <t>III</t>
  </si>
  <si>
    <t>IV</t>
  </si>
  <si>
    <t>V</t>
  </si>
  <si>
    <t>Поступления от продаж &lt;..&gt;</t>
  </si>
  <si>
    <t>Уплата НДФЛ</t>
  </si>
  <si>
    <t>Операционная деятельность</t>
  </si>
  <si>
    <t>Чистый денежный поток по опер. деят-ти</t>
  </si>
  <si>
    <t>Инвестиционная деятельность</t>
  </si>
  <si>
    <t>Приток</t>
  </si>
  <si>
    <t>Отток</t>
  </si>
  <si>
    <t>Уплата НДС по опер.деят-ти</t>
  </si>
  <si>
    <t>Продажа ОС</t>
  </si>
  <si>
    <t>Чистый денежный поток по инвест. деят-ти</t>
  </si>
  <si>
    <t>Возмещение НДС по инвест.деят-ти</t>
  </si>
  <si>
    <t>Финансовая деятельность</t>
  </si>
  <si>
    <t>Чистый денежный поток по фин. деят-ти</t>
  </si>
  <si>
    <t>Бюджетное финансирование</t>
  </si>
  <si>
    <t>Целевое финансирование</t>
  </si>
  <si>
    <t>Выплата дивидендов</t>
  </si>
  <si>
    <t>Итого движение денежных средств</t>
  </si>
  <si>
    <t>Остаток ден. средств на конец периода</t>
  </si>
  <si>
    <t>Остаток ден. средств на начало периода</t>
  </si>
  <si>
    <t>Налоги к уплате</t>
  </si>
  <si>
    <t>Валовая прибыль</t>
  </si>
  <si>
    <t>рент-ть по валовой прибыли</t>
  </si>
  <si>
    <t>Прибыль/убыток от продаж</t>
  </si>
  <si>
    <t>рент-ть по прибыли от продаж</t>
  </si>
  <si>
    <t>Прочие доходы</t>
  </si>
  <si>
    <t>Прочие расходы</t>
  </si>
  <si>
    <t>Проценты к получению</t>
  </si>
  <si>
    <t>Проценты к уплате</t>
  </si>
  <si>
    <t>Прибыль/(убыток) до налогообложения</t>
  </si>
  <si>
    <t>рент-ть по прибыли до налогообл.</t>
  </si>
  <si>
    <t>Налог на прибыль</t>
  </si>
  <si>
    <t>рент-ть по чистой прибыли</t>
  </si>
  <si>
    <t>Общепроизводственные расходы</t>
  </si>
  <si>
    <t>Чистая прибыль/убыток</t>
  </si>
  <si>
    <t>Амортизация</t>
  </si>
  <si>
    <t>EBITDA</t>
  </si>
  <si>
    <t>рент-ть по EBITDA</t>
  </si>
  <si>
    <t>Себестоимость продаж всего, в т.ч.:</t>
  </si>
  <si>
    <t>Инфляция в зоне USD</t>
  </si>
  <si>
    <t>Спарклайн</t>
  </si>
  <si>
    <t>Montserrat</t>
  </si>
  <si>
    <t>Шрифт</t>
  </si>
  <si>
    <t>Заголовок</t>
  </si>
  <si>
    <t>Подзаголовок</t>
  </si>
  <si>
    <t>Текст</t>
  </si>
  <si>
    <t>16-18</t>
  </si>
  <si>
    <t>тыс.руб. за ед.</t>
  </si>
  <si>
    <t>Количество продукта 1</t>
  </si>
  <si>
    <t>ед.</t>
  </si>
  <si>
    <t>коэф-т</t>
  </si>
  <si>
    <t>ячейка ввода числовых значений без десятичного знака количество</t>
  </si>
  <si>
    <t>ячейка ввода числовых значений без десятичного знака тыс.руб.</t>
  </si>
  <si>
    <t>ячейка ввода коэфф-тов</t>
  </si>
  <si>
    <t>к-т</t>
  </si>
  <si>
    <t>Количество продукта 2</t>
  </si>
  <si>
    <t>Количество продукта 3</t>
  </si>
  <si>
    <t>темп увеличения продаж  количества продукта 3 год к году</t>
  </si>
  <si>
    <t>темп увеличения продаж  количества продукта 2 год к году</t>
  </si>
  <si>
    <t>темп увеличения продаж  количества продукта 1 год к году</t>
  </si>
  <si>
    <t>ячека ввода числовых значений с двумя десятичными знаками тыс.руб.</t>
  </si>
  <si>
    <t>Общий тариф соц.взносов</t>
  </si>
  <si>
    <t>Пониженный тариф соц.взносов 15%</t>
  </si>
  <si>
    <t>Тариф сверх лимита базы (2225 тыс.руб.) соц.взносов</t>
  </si>
  <si>
    <t>Срок полезного использования</t>
  </si>
  <si>
    <t>лет</t>
  </si>
  <si>
    <t>НДС за период</t>
  </si>
  <si>
    <t>Объект 2</t>
  </si>
  <si>
    <t>-</t>
  </si>
  <si>
    <t>Объект 3</t>
  </si>
  <si>
    <t>для контроля полож. ост.ст-ти ОС</t>
  </si>
  <si>
    <t>Вспомогательные ячейки для облегчения понимания логики формул</t>
  </si>
  <si>
    <t>чел.</t>
  </si>
  <si>
    <t>Численность основной производственный персонал</t>
  </si>
  <si>
    <t>Всего численность</t>
  </si>
  <si>
    <t>Продажная цена продукта 1 без НДС с учетом индекс.</t>
  </si>
  <si>
    <t>Продажная цена продукта 2 без НДС с учетом индекс.</t>
  </si>
  <si>
    <t>Инфляция в России (год к году)</t>
  </si>
  <si>
    <t>Ключевая ставка ЦБ</t>
  </si>
  <si>
    <t>Одного специалиста адм-управл. Персонала с учетом индек.</t>
  </si>
  <si>
    <t>Одного специалиста основного производ. Персонала с учетом индекс.</t>
  </si>
  <si>
    <t>Сред.мес.зарплата:</t>
  </si>
  <si>
    <t>Основной производственный персонал</t>
  </si>
  <si>
    <t>Численность  адм.-управленч. персонал</t>
  </si>
  <si>
    <t>Адм.-управленч. персонал</t>
  </si>
  <si>
    <t>Оплата труда всего, в т.ч.:</t>
  </si>
  <si>
    <t>Соц.взносы по общему тарифу всего, в т.ч.:</t>
  </si>
  <si>
    <t>Административные расходы всего, в т.ч.:</t>
  </si>
  <si>
    <t xml:space="preserve">Прочие административные расходы </t>
  </si>
  <si>
    <t>Оплата труда адм.-управл. персонала с соц.взносами</t>
  </si>
  <si>
    <t>НДФЛ с зарплаты к уплате в бюджет</t>
  </si>
  <si>
    <t>Соц.взносы</t>
  </si>
  <si>
    <t>Оплата труда без НДФЛ</t>
  </si>
  <si>
    <t>Начисл. и выплаченная зар.плата с соц налогами</t>
  </si>
  <si>
    <t>Собственный капитал</t>
  </si>
  <si>
    <t>Сумма кредита/займа на нач. периода</t>
  </si>
  <si>
    <t>Привлечение кредита/займа</t>
  </si>
  <si>
    <t>Погашение кредита/займа</t>
  </si>
  <si>
    <t>Сумма кредита/займа на кон. периода</t>
  </si>
  <si>
    <t>Начисление %</t>
  </si>
  <si>
    <t>Оплата %</t>
  </si>
  <si>
    <t>Кредитор: Банк 1</t>
  </si>
  <si>
    <t>ост.дс по БДДС на конец года.</t>
  </si>
  <si>
    <t>Кредитор: Банк 2</t>
  </si>
  <si>
    <t>Итого по всем кредитам и займам</t>
  </si>
  <si>
    <t>НДС нараст.итогом</t>
  </si>
  <si>
    <t>НДС от продаж</t>
  </si>
  <si>
    <t>Чистая прибыль/убыток нарастающим итогом для отражения в Балансе</t>
  </si>
  <si>
    <t>Показатели эффективности проекта</t>
  </si>
  <si>
    <t>Итого чист. ден. поток по опер. и  инвест. деят-ти</t>
  </si>
  <si>
    <t>дата для расчетов формулами Excel</t>
  </si>
  <si>
    <t>Ставка дисконтирования</t>
  </si>
  <si>
    <t>`=ЧИСТНЗ()</t>
  </si>
  <si>
    <t>Ден.поток нарастающим итогом</t>
  </si>
  <si>
    <t>`=ЧИСТВНДОХ()</t>
  </si>
  <si>
    <t>далее</t>
  </si>
  <si>
    <t>руб. за евро</t>
  </si>
  <si>
    <t>руб. за долл.</t>
  </si>
  <si>
    <t>1 Долл</t>
  </si>
  <si>
    <t>1 Евро</t>
  </si>
  <si>
    <t>руб. за куб.м.</t>
  </si>
  <si>
    <t>Теплоснабжение</t>
  </si>
  <si>
    <t>Газ</t>
  </si>
  <si>
    <t>Платежи за период с НДС</t>
  </si>
  <si>
    <t>Остаточная стоимость ОС</t>
  </si>
  <si>
    <t>Все объекты капитальных вложений</t>
  </si>
  <si>
    <t>Объект 4</t>
  </si>
  <si>
    <t>Объект 5</t>
  </si>
  <si>
    <t>Объект 6</t>
  </si>
  <si>
    <t>Объект 7</t>
  </si>
  <si>
    <t>Объект 8</t>
  </si>
  <si>
    <t>Объект 9</t>
  </si>
  <si>
    <t>Объект 10</t>
  </si>
  <si>
    <t>Объект 11</t>
  </si>
  <si>
    <t>Объект 12</t>
  </si>
  <si>
    <t>Развернуть объекты капитальных вложений</t>
  </si>
  <si>
    <t>Источник информации.
Примечания</t>
  </si>
  <si>
    <t>Инвестиционная стадия</t>
  </si>
  <si>
    <t>Операционная стадия</t>
  </si>
  <si>
    <t>Проектирование</t>
  </si>
  <si>
    <t>Строительство</t>
  </si>
  <si>
    <t>Приобретение оборудования</t>
  </si>
  <si>
    <t>Подписания акта ввода в эксплуатацию</t>
  </si>
  <si>
    <t>Продукт / Услуга 1</t>
  </si>
  <si>
    <t>Продукт / Услуга 2</t>
  </si>
  <si>
    <t>Продукт / Услуга 3</t>
  </si>
  <si>
    <t>Продукт / Услуга 4</t>
  </si>
  <si>
    <t>Продукт / Услуга 5</t>
  </si>
  <si>
    <t>Шаблон  на 5 продуктов или услуг. СУММЕСЛИ.  До строки 165 до 195</t>
  </si>
  <si>
    <t>капитальные вложения</t>
  </si>
  <si>
    <t>Платежи с НДС по приобретению / строительству объектов кап.вложений:</t>
  </si>
  <si>
    <t>Цвет</t>
  </si>
  <si>
    <t>Ссылка на лист</t>
  </si>
  <si>
    <t>2.3.2 Кредиты и займы</t>
  </si>
  <si>
    <t>Кредитор: Банк 3</t>
  </si>
  <si>
    <t>Кредитор: Банк 4</t>
  </si>
  <si>
    <t>ячека ввода процентов</t>
  </si>
  <si>
    <t>Оплата процентов по кредитам и займам</t>
  </si>
  <si>
    <t>Кредиты и займы полученные</t>
  </si>
  <si>
    <t xml:space="preserve">Дебиторская задолженность </t>
  </si>
  <si>
    <t xml:space="preserve">Акционерный капитал </t>
  </si>
  <si>
    <t>Участник 1</t>
  </si>
  <si>
    <t>Участник 2</t>
  </si>
  <si>
    <t>Участник 3</t>
  </si>
  <si>
    <t>Взносы в Уставный (складочный) капитал нараст.итогом</t>
  </si>
  <si>
    <t>Расчет себестоимости сырья для производства</t>
  </si>
  <si>
    <t>Сырье 1</t>
  </si>
  <si>
    <t>Стоимость ед. сырья 1 с учетом индексации без НДС</t>
  </si>
  <si>
    <t>Справочно:</t>
  </si>
  <si>
    <t>Стоимость сырья</t>
  </si>
  <si>
    <t>Все Себестоимость сырья для производства все продуктов и услуг</t>
  </si>
  <si>
    <t>Сырье и материалы для производства</t>
  </si>
  <si>
    <t xml:space="preserve">плюс НДС </t>
  </si>
  <si>
    <t>Стоимость сырья с НДС</t>
  </si>
  <si>
    <t>Сырье 2</t>
  </si>
  <si>
    <t>Стоимость ед. сырья 2 с учетом индексации без НДС</t>
  </si>
  <si>
    <t>Оплата сырья и материалов</t>
  </si>
  <si>
    <t>(*) Валовая прибыль от Продукта / Услуги 1</t>
  </si>
  <si>
    <t>(*) Рентаб. по Валовой прибыли от Продукта / Услуги 1</t>
  </si>
  <si>
    <t>(*) Валовая прибыль от Продукта / Услуги 2</t>
  </si>
  <si>
    <t>(*) Рентаб. по Валовой прибыли от Продукта / Услуги 2</t>
  </si>
  <si>
    <t>Стоимость ресурсов</t>
  </si>
  <si>
    <t>Стоимость ресурсов с НДС</t>
  </si>
  <si>
    <t>Ливневая канализация</t>
  </si>
  <si>
    <t>тариф без НДС</t>
  </si>
  <si>
    <t>Оплата ресурсов</t>
  </si>
  <si>
    <t>Расчет стоимости инж. и энерго ресурсов</t>
  </si>
  <si>
    <t>Стоимость ресурсов без НДС</t>
  </si>
  <si>
    <t>Статья 1</t>
  </si>
  <si>
    <t>Статья 2</t>
  </si>
  <si>
    <t>Статья 3</t>
  </si>
  <si>
    <t>Статья 4</t>
  </si>
  <si>
    <t>Статья 5</t>
  </si>
  <si>
    <t>Всего адм.хоз.расходы без НДС, в т.ч.:</t>
  </si>
  <si>
    <t>Платежи по адм.хоз. расходам с НДС</t>
  </si>
  <si>
    <t>Статья 2 (нет НДС)</t>
  </si>
  <si>
    <t>НДС по адм.хоз. расходам к вычету</t>
  </si>
  <si>
    <t>Всего общепроизводственные расходы без НДС, в т.ч.:</t>
  </si>
  <si>
    <t>Платежи по общепроизводственные расходы с НДС</t>
  </si>
  <si>
    <t>НДС по общепроизводственным расходы к вычету</t>
  </si>
  <si>
    <t>Общепроизвод. расходы</t>
  </si>
  <si>
    <t>Расчет НДС</t>
  </si>
  <si>
    <t>НДС по инвестиционной деятельности к возмещению из бюджета путем выплаты на р/с</t>
  </si>
  <si>
    <t>НДС с продаж</t>
  </si>
  <si>
    <t>НДС начисл.к уплате в бюджет</t>
  </si>
  <si>
    <t>НДС c ресурсов</t>
  </si>
  <si>
    <t>НДС с себестоимости</t>
  </si>
  <si>
    <t>НДС с общепроизв. расходов</t>
  </si>
  <si>
    <t>НДС с адм.-хоз. расходов</t>
  </si>
  <si>
    <t>Всего прочие доходы, в т.ч.:</t>
  </si>
  <si>
    <t>Всего прочие расходы, в т.ч.:</t>
  </si>
  <si>
    <t>Поступления от прочих доходов</t>
  </si>
  <si>
    <t>Оплата проч.расходов</t>
  </si>
  <si>
    <t>Взнос в УК или складочный капитал</t>
  </si>
  <si>
    <t>к-т НДС к уплате / НДС начисл</t>
  </si>
  <si>
    <t>к-т НДС к вычету / НДС начисл</t>
  </si>
  <si>
    <t>Расчет налога на прибыль</t>
  </si>
  <si>
    <t>Расчет налога на имущество</t>
  </si>
  <si>
    <t>Ставка налога на имущество</t>
  </si>
  <si>
    <t>Ставка Налога на имущество</t>
  </si>
  <si>
    <t>https://invest.economy.gov.ru/osobye-ehkonomicheskie-zony</t>
  </si>
  <si>
    <t>Ставка Налога на землю</t>
  </si>
  <si>
    <t>Ставка аренды земли от кадастр.ст-ти</t>
  </si>
  <si>
    <t>Налогооблоагаемая база</t>
  </si>
  <si>
    <t>Льготная ставка налога на имущество</t>
  </si>
  <si>
    <t>Сумма льготы по налогу на имущество</t>
  </si>
  <si>
    <t>Льготный тариф соц.взносов</t>
  </si>
  <si>
    <t>Соц.взносы по льготному тарифу всего, в т.ч.:</t>
  </si>
  <si>
    <t>Сумма льготы по соц.взносам</t>
  </si>
  <si>
    <t>Оплата труда с соц.взносами по  льготному тарифу всего, в т.ч.:</t>
  </si>
  <si>
    <t>Структура ФЭМ</t>
  </si>
  <si>
    <t>Бюджет (прогноз) доходов и расходов без учета льгот</t>
  </si>
  <si>
    <t>Бюджет доходов и расходов без льгот</t>
  </si>
  <si>
    <t>Бюджет движения денежных средств без льгот</t>
  </si>
  <si>
    <t>Налог на имущество</t>
  </si>
  <si>
    <t>Оплата труда с соц.взносами по  стандарт тарифу всего, в т.ч.:</t>
  </si>
  <si>
    <t>Сравнение:</t>
  </si>
  <si>
    <t>Чистая прибыль с учетом льгот</t>
  </si>
  <si>
    <t>Чистая прибыль без учета льгот</t>
  </si>
  <si>
    <t>Разница</t>
  </si>
  <si>
    <t>Прибыль/(убыток) до налогообложения с учетом льгот</t>
  </si>
  <si>
    <t>Прибыль/(убыток) до налогообложения без учета льгот</t>
  </si>
  <si>
    <t>Ключевые показатели эффективности проекта с льготами</t>
  </si>
  <si>
    <t>Инвестиции (млн.₽):</t>
  </si>
  <si>
    <t>Рабочих мест:</t>
  </si>
  <si>
    <t>млн.руб.</t>
  </si>
  <si>
    <t>НДС</t>
  </si>
  <si>
    <t>Налоги и сборы (млн.₽)</t>
  </si>
  <si>
    <t>Потребление в год:</t>
  </si>
  <si>
    <t>Эл.энергия (т.кВт/час)</t>
  </si>
  <si>
    <t>Начало строительства:</t>
  </si>
  <si>
    <t>Начало производства:</t>
  </si>
  <si>
    <t>Прибыль от продаж  (млн.₽)</t>
  </si>
  <si>
    <t>Чистая прибыль  (млн.₽)</t>
  </si>
  <si>
    <t>IRR (%)</t>
  </si>
  <si>
    <t>EBITDA (млн.₽)</t>
  </si>
  <si>
    <t>Структура Себестоимости</t>
  </si>
  <si>
    <t>Себестоимость</t>
  </si>
  <si>
    <t>Сырье</t>
  </si>
  <si>
    <t>Ресурсы</t>
  </si>
  <si>
    <t>Оплата труда</t>
  </si>
  <si>
    <t>Общепроизв. расходы</t>
  </si>
  <si>
    <t>Возврат кредитов и займов</t>
  </si>
  <si>
    <t>Инвестиции из бюджета РФ в инфраструктуру (млн.₽):</t>
  </si>
  <si>
    <t>Производство в год &lt;Продукт 1&gt; тыс.ед.:</t>
  </si>
  <si>
    <t>Период окупаемости, лет</t>
  </si>
  <si>
    <t>Дисконтированный период окупаемости, лет</t>
  </si>
  <si>
    <t>источник</t>
  </si>
  <si>
    <t>К-т ускоренной амортизации для участников ОЭЗ</t>
  </si>
  <si>
    <t>Остаточная стоимость ОС после ускор амортизации</t>
  </si>
  <si>
    <t>Амортизация ускоренная</t>
  </si>
  <si>
    <t>Баланс (без учета льгот)</t>
  </si>
  <si>
    <t>Баланс без учета льгот</t>
  </si>
  <si>
    <t>Основные средства после ускор.аморт.</t>
  </si>
  <si>
    <t>Уплата налога на прибыль без льгот</t>
  </si>
  <si>
    <t>Уплата земельного налога без льгот</t>
  </si>
  <si>
    <t>Уплата налога на прибыль  с льготой</t>
  </si>
  <si>
    <t>Уплата земельного налога  с льготой</t>
  </si>
  <si>
    <t>Налог на имущество с льготой</t>
  </si>
  <si>
    <t>Налог на прибыль с льготой</t>
  </si>
  <si>
    <t>Налог на землю с льготой</t>
  </si>
  <si>
    <t>Налог на землю без льготы</t>
  </si>
  <si>
    <t>Налог на имущество без льготы</t>
  </si>
  <si>
    <t>Остаточная стоимость недвижимости на начало периода</t>
  </si>
  <si>
    <t>Остаточная стоимость недвижимости на конец периода</t>
  </si>
  <si>
    <t>Ключевые показатели эффективности проекта без льгот</t>
  </si>
  <si>
    <t>Диаграмма ключевых показатели эффективности проекта без учета льгот</t>
  </si>
  <si>
    <t>Расчет WACC</t>
  </si>
  <si>
    <t>Средневзвешенная стоимость капитала (WACC)</t>
  </si>
  <si>
    <t>Стоимость капитала</t>
  </si>
  <si>
    <t>Стоимость долга</t>
  </si>
  <si>
    <t>Общий долг/Капитал</t>
  </si>
  <si>
    <t>Модель определения стоимости собственного капитала (CAPM)</t>
  </si>
  <si>
    <t>Безрисковая доходность (US treasures 10 years at 25/12/2023)</t>
  </si>
  <si>
    <t>Премия за риск акционерного капитала</t>
  </si>
  <si>
    <t>Рыночный риск при нулевом долге</t>
  </si>
  <si>
    <t>Коэффициент рыночного риска (equity beta) при нулевом долге</t>
  </si>
  <si>
    <t>Премия за страновой риск</t>
  </si>
  <si>
    <t>Премия за размер</t>
  </si>
  <si>
    <t>Стоимость долга после налогов</t>
  </si>
  <si>
    <t>Средневзвешенная процентная ставка кредита, предоставляемого банками</t>
  </si>
  <si>
    <t>Источник</t>
  </si>
  <si>
    <t>Биржевые данные</t>
  </si>
  <si>
    <t xml:space="preserve">Внутренний показатель </t>
  </si>
  <si>
    <t>Расчетный показатель</t>
  </si>
  <si>
    <t>Статистический бюллетень ЦБ РФ № 11, 2023 от 07.12.2023 (стр 95)</t>
  </si>
  <si>
    <t>ИТОГО</t>
  </si>
  <si>
    <t>Бюджет (прогноз) движение денежных средств без учета льгот</t>
  </si>
  <si>
    <t>Листы с исходными параметрами ОЭЗ</t>
  </si>
  <si>
    <t>Листы с индикативами проектов без льгот</t>
  </si>
  <si>
    <t>Расчет налога на землю / арендной платы за землю</t>
  </si>
  <si>
    <t>Расчет налога на землю / Арендной платы за землю</t>
  </si>
  <si>
    <t>Описание последовательности заполнения фин.-эконом. модели</t>
  </si>
  <si>
    <t>Примечания</t>
  </si>
  <si>
    <t>1</t>
  </si>
  <si>
    <t>До наачала работы с ФЭМ следует ознакомиться с общим представлением о Структуре ФЭМ.</t>
  </si>
  <si>
    <t>Для навигации внутри ФЭМ максимально используются гиперссылки для перехода к зависимым по смыслу сущностям.</t>
  </si>
  <si>
    <t>2</t>
  </si>
  <si>
    <t>Заполнить макроэкономические параметры</t>
  </si>
  <si>
    <t>Заполнить исходные условия</t>
  </si>
  <si>
    <t>3</t>
  </si>
  <si>
    <t>Заполнить данные по продажам продукции, услуг</t>
  </si>
  <si>
    <t>Выполнено задач:</t>
  </si>
  <si>
    <t>4</t>
  </si>
  <si>
    <t>5</t>
  </si>
  <si>
    <t>Заполнить данные по себестоимости продукции, услуг</t>
  </si>
  <si>
    <t>Проверить расчет по потребляемым инженерным и коммунальным ресурсам</t>
  </si>
  <si>
    <t>6</t>
  </si>
  <si>
    <t>7</t>
  </si>
  <si>
    <t>Проверить расчеты персоналу и ФОТ с налогами</t>
  </si>
  <si>
    <t>8</t>
  </si>
  <si>
    <t>9</t>
  </si>
  <si>
    <t>Проверить расчеты по инвестициям и расчету амортизации</t>
  </si>
  <si>
    <t>обратить внимание на льготы по ОЭЗ</t>
  </si>
  <si>
    <t>Запонить и проверить расчеты по финансированию проекта</t>
  </si>
  <si>
    <t>обратить внимание: расчеты сделаны на 5 кредитов (можно допольнить)</t>
  </si>
  <si>
    <t>обратить внимание: расчеты сделаны на 12 объектов внеоб.активов (можно допольнить)</t>
  </si>
  <si>
    <t>10</t>
  </si>
  <si>
    <t>Всего задач на контроле:</t>
  </si>
  <si>
    <t>Описание задачи</t>
  </si>
  <si>
    <t>Запонить лист общепроизводственные расходы</t>
  </si>
  <si>
    <t>перечень статей на усмотрение и дополнение</t>
  </si>
  <si>
    <t>11</t>
  </si>
  <si>
    <t>Запонить лист адм.- хозяйственные расходы</t>
  </si>
  <si>
    <t>12</t>
  </si>
  <si>
    <t>Запонить лист Прочие доходы</t>
  </si>
  <si>
    <t>перечень статей на усмотрение и дополнение. Обратить внимание на статьи расходов, которые оплачиваются с НДС</t>
  </si>
  <si>
    <t>13</t>
  </si>
  <si>
    <t>Запонить лист Прочие расходы</t>
  </si>
  <si>
    <t>14</t>
  </si>
  <si>
    <t>Проверить лист Контроль</t>
  </si>
  <si>
    <t>Лучше смотреть в этот лист чаще</t>
  </si>
  <si>
    <t>15</t>
  </si>
  <si>
    <t>Проверить лист БДР с льготами (а также листы БДДС и Баланс)</t>
  </si>
  <si>
    <t>смотрите поясняющие графики ниже таблиц</t>
  </si>
  <si>
    <t>16</t>
  </si>
  <si>
    <t>Проверить лист БДР без льгот (а также листы БДДС и Баланс без льгот)</t>
  </si>
  <si>
    <t>17</t>
  </si>
  <si>
    <t>Смотреть листы с диаграммами по ключевым экономическим показателям (с льготами и без льгот)</t>
  </si>
  <si>
    <t>убедиться что все показатели удовлетворяют требованиям</t>
  </si>
  <si>
    <t>18</t>
  </si>
  <si>
    <t>Смотреть лист анализа чувствительности модели</t>
  </si>
  <si>
    <t>19</t>
  </si>
  <si>
    <t>Провести и проверить расчет WACC</t>
  </si>
  <si>
    <t>&lt;в работе&gt;</t>
  </si>
  <si>
    <t>Чек-лист для контроля</t>
  </si>
  <si>
    <t>Персонал, ФОТ, страховые взносы</t>
  </si>
  <si>
    <t>Одного специалиста адм-управл. Персонала с учетом индекс.</t>
  </si>
  <si>
    <t>к-т ускоренной амортизации</t>
  </si>
  <si>
    <t>Ускоренная амортизация</t>
  </si>
  <si>
    <t>Годовая ставка по кредиту</t>
  </si>
  <si>
    <t>Продажная цена продукта 3 без НДС с учетом индекс.</t>
  </si>
  <si>
    <t>Темп увеличения продаж  количества продукта 3 год к году</t>
  </si>
  <si>
    <t xml:space="preserve">Плюс НДС </t>
  </si>
  <si>
    <t>Электроэнергия мощность</t>
  </si>
  <si>
    <t>Электроэнергия потребление</t>
  </si>
  <si>
    <t>обязат ссылка на Закон или норм акт</t>
  </si>
  <si>
    <t>Выручка</t>
  </si>
  <si>
    <t>Выручка без НДС</t>
  </si>
  <si>
    <t>Выручка с НДС</t>
  </si>
  <si>
    <t>Выручка по всем продуктам и услугам</t>
  </si>
  <si>
    <t>Выручка от продаж продукции, услуг</t>
  </si>
  <si>
    <t>Итого</t>
  </si>
  <si>
    <t>Соотв. Измен. Нераспределенной прибыли в Балансе и чистой прибыли в ФР</t>
  </si>
  <si>
    <t>Продажная цена продукта 3 без НДС с вычетом индекс.</t>
  </si>
  <si>
    <t>Вода хоз.- быт. назначения</t>
  </si>
  <si>
    <t>Вода пром. назначения</t>
  </si>
  <si>
    <t>Водоотведение пром. Назначения</t>
  </si>
  <si>
    <t>Водоотведение пром. хоз.- быт. Назначения</t>
  </si>
  <si>
    <t>Водоотведение пром. назначения</t>
  </si>
  <si>
    <t>Вода пром. Назначения</t>
  </si>
  <si>
    <t>Вода хоз.-быт. Назначения</t>
  </si>
  <si>
    <t>Вода хоз.-быт. назначения</t>
  </si>
  <si>
    <t>Водоотведение хоз.-быт. Назначения</t>
  </si>
  <si>
    <t>Выручка (млн.₽)</t>
  </si>
  <si>
    <t>Выручка без НДС Продукта / Услуги 1</t>
  </si>
  <si>
    <t>Неотрицательный остаток ДС</t>
  </si>
  <si>
    <t>Оплата труда основн.произв. персонала с соц.взносамми</t>
  </si>
  <si>
    <t>Оплата труда основн.произв. персонала с соц.взносами</t>
  </si>
  <si>
    <t>Уплата налога на имущество без льгот</t>
  </si>
  <si>
    <t>Адм.-хозяйственные расходы</t>
  </si>
  <si>
    <t>Уплата налога на имущество с льготой</t>
  </si>
  <si>
    <t>Стоимость объекта ОС во внеоборотных активах</t>
  </si>
  <si>
    <t>Стоимость объекта ОС во внеоборотных активах ускор.аморт.</t>
  </si>
  <si>
    <t>Расчет инвестиций и амортизации Основных средств</t>
  </si>
  <si>
    <t>Взносы в Уставный (складочный) капитал или иные взносы участников всего, в т.ч.</t>
  </si>
  <si>
    <t>Финансовая деятельность: привлеение кредитов, займов и др.</t>
  </si>
  <si>
    <t>Расшифровка общепроизводственных расходов</t>
  </si>
  <si>
    <t>Расшифровка административно-хозяйственных расходов</t>
  </si>
  <si>
    <t>Расшифровка прочих доходов</t>
  </si>
  <si>
    <t>Расшифровка прочих расходов</t>
  </si>
  <si>
    <t>Содержание книги</t>
  </si>
  <si>
    <t>Описание последовательности заполнения фин.-эконом. Модели</t>
  </si>
  <si>
    <t xml:space="preserve">Описание структруры финансово-экономической модели (п.п.4 п.2 МИнЭк № 626) </t>
  </si>
  <si>
    <t>Дашборд по основным показателям проекта без льгот</t>
  </si>
  <si>
    <t>Таблицы для переноса в текстовое описание проекта в docx-файл</t>
  </si>
  <si>
    <t>Бюджет (прогноз) доходов и расходов с льготами</t>
  </si>
  <si>
    <t>Прогнозный баланс с учетом льготами</t>
  </si>
  <si>
    <t>Бюджет (прогноз) движение денежных средств с учетом льготами</t>
  </si>
  <si>
    <t>Контрольный лист согласованности и отсутствия ошибок. На каждый лист вынесена инф. с данного листа</t>
  </si>
  <si>
    <t>без НДС</t>
  </si>
  <si>
    <t>с НДС</t>
  </si>
  <si>
    <t>Период осуществления капитальных вложений</t>
  </si>
  <si>
    <t>год(ы)</t>
  </si>
  <si>
    <t xml:space="preserve">Проектная мощность </t>
  </si>
  <si>
    <t>н/п</t>
  </si>
  <si>
    <t>ед.изм</t>
  </si>
  <si>
    <t>Ввод в эксплуатацию</t>
  </si>
  <si>
    <t>Объем продукции(услуг), освобожденный от НДС</t>
  </si>
  <si>
    <t>Собственные средства</t>
  </si>
  <si>
    <t>Заемные средства</t>
  </si>
  <si>
    <t>Финансирование инвестиционного проекта, млн.рублей</t>
  </si>
  <si>
    <t>Расходы на инвестиции</t>
  </si>
  <si>
    <t>Инвестиции в операционную деятельность</t>
  </si>
  <si>
    <t>в т.ч. НДС</t>
  </si>
  <si>
    <t>Инвестиции без НДС</t>
  </si>
  <si>
    <t>Финансирование капитальных вложений в инвестиционной фазе по годам, млн.рублей</t>
  </si>
  <si>
    <t>Наименование</t>
  </si>
  <si>
    <t>Всего</t>
  </si>
  <si>
    <t>Коммунальные объекты</t>
  </si>
  <si>
    <t>Итого с НДС</t>
  </si>
  <si>
    <t>Цена и объемы реализации по годам</t>
  </si>
  <si>
    <t>всего</t>
  </si>
  <si>
    <t>Цена тыс.руб/т</t>
  </si>
  <si>
    <t>Выручка по годам, млн.рублей</t>
  </si>
  <si>
    <t>Выручка, б/НДС</t>
  </si>
  <si>
    <t>Показатель</t>
  </si>
  <si>
    <t>Сценарий с льготами ОЭЗ</t>
  </si>
  <si>
    <t>Сценарий без льгот ОЭЗ</t>
  </si>
  <si>
    <t>IRR (внутренняя норма доходности), %</t>
  </si>
  <si>
    <t>РР (простой срок окупаемости), лет</t>
  </si>
  <si>
    <t>PI (индекс доходности инвестиций), ед.</t>
  </si>
  <si>
    <t>Поступления в бюджет и внебюджетные фонды</t>
  </si>
  <si>
    <t>Использовано налоговых льгот</t>
  </si>
  <si>
    <t>НДС, млн.рублей</t>
  </si>
  <si>
    <t>НДФЛ, млн.рублей</t>
  </si>
  <si>
    <t>Налог на прибыль, млн.рублей</t>
  </si>
  <si>
    <t>Налог на имущество организаций, млн.рублей</t>
  </si>
  <si>
    <t>Итого поступления в бюджеты, в т.ч.:</t>
  </si>
  <si>
    <t>- федеральный бюджет</t>
  </si>
  <si>
    <t>- региональный бюджет</t>
  </si>
  <si>
    <t>- местный бюджет</t>
  </si>
  <si>
    <t>Страховые взносы</t>
  </si>
  <si>
    <t>Таможенные пошлины</t>
  </si>
  <si>
    <t xml:space="preserve">Количество рабочих мест </t>
  </si>
  <si>
    <t>Количество создаваемых рабочих мест 
(нарастающим итогом)</t>
  </si>
  <si>
    <t>Количество создаваемых рабочих мест 
(по годам)</t>
  </si>
  <si>
    <t>Средняя зп тыс.руб.</t>
  </si>
  <si>
    <t xml:space="preserve">Привлечение </t>
  </si>
  <si>
    <t xml:space="preserve">Погашение </t>
  </si>
  <si>
    <t>Погашение процентов</t>
  </si>
  <si>
    <t>Условия предоставления займа</t>
  </si>
  <si>
    <t>Сумма займа</t>
  </si>
  <si>
    <t>млн.руб</t>
  </si>
  <si>
    <t>Эффективная процентная ставка</t>
  </si>
  <si>
    <t xml:space="preserve">Срок привлечения средств </t>
  </si>
  <si>
    <t xml:space="preserve">Размер собственного участия </t>
  </si>
  <si>
    <t>не менее %</t>
  </si>
  <si>
    <t xml:space="preserve">Валюта займа </t>
  </si>
  <si>
    <t>руб.</t>
  </si>
  <si>
    <t>Срок предоставления займа</t>
  </si>
  <si>
    <t>годы</t>
  </si>
  <si>
    <t>Соглашение</t>
  </si>
  <si>
    <t>Год реализации инвестиционного проекта</t>
  </si>
  <si>
    <t>Наименование показателя</t>
  </si>
  <si>
    <t>Объем внебюджетных источников (в том числе капитальных вложений), осуществленных в рамках реализации Инвестиционного проекта на территории особой экономической зоны  (далее – ОЭЗ), млн. руб. без НДС</t>
  </si>
  <si>
    <t>Объем капитальных вложений, осуществленных в рамках реализации Инвестиционного проекта на территории  ОЭЗ, млн. руб. без НДС</t>
  </si>
  <si>
    <t>Количество рабочих мест, созданных на территории ОЭЗ, ед.</t>
  </si>
  <si>
    <t>Объем выручки от продажи товаров, выполнения работ, оказания услуг за вычетом НДС, акцизов и суммы доходов (в денежном выражении), млн. руб.</t>
  </si>
  <si>
    <t>Объем налогов, уплаченных резидентом ОЭЗ в бюджеты всех уровней бюджетной системы Российской Федерации (без учета взносов во внебюджетные фонды), млн. руб.</t>
  </si>
  <si>
    <t>Объем таможенных платежей, уплаченных резидентом ОЭЗ, млн. руб.</t>
  </si>
  <si>
    <t>Финансирование инвестиций</t>
  </si>
  <si>
    <t>Источник финансирования</t>
  </si>
  <si>
    <t xml:space="preserve">    - федеральный бюджет</t>
  </si>
  <si>
    <t xml:space="preserve">    - региональный бюджет</t>
  </si>
  <si>
    <t xml:space="preserve">    - муниципальный бюджет</t>
  </si>
  <si>
    <t>Внебюджетное финансирование, в т.ч.:</t>
  </si>
  <si>
    <t xml:space="preserve">    - собственные средства резидентов</t>
  </si>
  <si>
    <t xml:space="preserve">    - заемные средства резидентов</t>
  </si>
  <si>
    <t xml:space="preserve">    - денежный поток от операционной деятельности</t>
  </si>
  <si>
    <t>Итого, млн.рублей</t>
  </si>
  <si>
    <t>Ссылки для перехода к листам источн.данных</t>
  </si>
  <si>
    <t>Объем капитальных вложений (млн.руб.)</t>
  </si>
  <si>
    <t>перейти</t>
  </si>
  <si>
    <t>Балансовое равенство (Баланс без льгот)</t>
  </si>
  <si>
    <t>Неотрицательный остаток ДС (БДДС без льгот)</t>
  </si>
  <si>
    <t>Соответ. ДС в балансе и БДДС</t>
  </si>
  <si>
    <t>Соответ. ДС в балансе и БДДС (без льгот)</t>
  </si>
  <si>
    <t>Соотв. Измен. Нераспределенной прибыли в Балансе и чистой прибыли в ФР (без льгот)</t>
  </si>
  <si>
    <t>Ставка Налога на прибыль всего, в т.ч.:</t>
  </si>
  <si>
    <t>фед.бюджет</t>
  </si>
  <si>
    <t>рег.бюджет</t>
  </si>
  <si>
    <t>Ставка Налога на прибыль льгота всего, в т.ч.:</t>
  </si>
  <si>
    <t>Основание: Закон …..</t>
  </si>
  <si>
    <t>объект налог.обл.ДОХОД</t>
  </si>
  <si>
    <t>Ставка Налога по УСН:</t>
  </si>
  <si>
    <t>объект налог.обл.ДОХОД-РАСХОД</t>
  </si>
  <si>
    <t>объект налог.обл.ДОХОД-РАСХОД льгота</t>
  </si>
  <si>
    <t>объект налог.обл.ДОХОД льгота</t>
  </si>
  <si>
    <t>Тамож. платежи</t>
  </si>
  <si>
    <t>п.п. 3 п. 1 статьи 151 НК РФ
 ст. 37 №116-ФЗ от 22.07.2005 "Об особых экономических зонах в Российской Федерации"</t>
  </si>
  <si>
    <t>Если режим "Свободнаяч таможенная зона":</t>
  </si>
  <si>
    <t>Налог на прибыль к начисл. по стандартной ставке всего, в т.ч.:</t>
  </si>
  <si>
    <t>Налог на прибыль к начисл. по льготной ставке всего, в т.ч.:</t>
  </si>
  <si>
    <t>в т.ч. в:</t>
  </si>
  <si>
    <t>Сумма льготы по налогу на прибыль всего, в т.ч.:</t>
  </si>
  <si>
    <t>График привлечения/погашения заемных средств (млн.руб.)</t>
  </si>
  <si>
    <t>Свод всех налогов и налоговых льгот</t>
  </si>
  <si>
    <t>Налог на имущество к начисл. по стандартной ставке</t>
  </si>
  <si>
    <t>Налог на имущество к начисл. по льготной ставке</t>
  </si>
  <si>
    <t>местный бюджет</t>
  </si>
  <si>
    <t>Всего Выручка без НДС</t>
  </si>
  <si>
    <t>Всего ресурсы</t>
  </si>
  <si>
    <t>БДР</t>
  </si>
  <si>
    <t>БДДС</t>
  </si>
  <si>
    <t>Ключевые показатели эффективности проекта без льгот. Окупаемость проекта.</t>
  </si>
  <si>
    <t>Ключевые показатели эффективности проекта с льготами.  Окупаемость проекта.</t>
  </si>
  <si>
    <t>Объем заплан инвест накопл итогом за три года содания не менее инвестиций фед., регион. И мест. Бюджетов</t>
  </si>
  <si>
    <t>Если наколп итогом за 10 лет инвест более 20 млрд. должно быть не менее 1 инвест проектов</t>
  </si>
  <si>
    <t>Если наколп итогом за 10 лет инвест от 8 до 20 млрд. должно быть не менее 5 инвест проектов</t>
  </si>
  <si>
    <t>Пункт 5:</t>
  </si>
  <si>
    <t>Пункт 6:</t>
  </si>
  <si>
    <t>Наличие инвест проекта (включая из фин-эк показатели, подтвержденные фин моделями)</t>
  </si>
  <si>
    <t>http://publication.pravo.gov.ru/document/0001202402150022?ysclid=ltr7u2qhku93252825</t>
  </si>
  <si>
    <t>На конец 10 года инвест мультипликатор: планир объем инвестиций / размер расходов всех бюджетов РФ не менее 5</t>
  </si>
  <si>
    <t>Пункт 7:</t>
  </si>
  <si>
    <t>инженерная</t>
  </si>
  <si>
    <t>транспортная</t>
  </si>
  <si>
    <t>инновационная</t>
  </si>
  <si>
    <t>социальная</t>
  </si>
  <si>
    <t>иная инфраструктура</t>
  </si>
  <si>
    <t>Обоснованность расчета плановых показателей развития инфраструктуры:</t>
  </si>
  <si>
    <t>Пункт 9:</t>
  </si>
  <si>
    <t>Показатель рентабельности: (планируемые инвестиции + обязат платежи резидентов) / (планируемые расходы бюджетов на инфраструктуру + льготы по обязат платежам резидентов) не менее 2 для промышл.-произв. Зон и не менее 1 для турист-экскурс., техн.-внедренч и портовым зонам</t>
  </si>
  <si>
    <t>Пункт 11:</t>
  </si>
  <si>
    <t>Возможность обеспечить ресурсами в т.ч. кадровыми</t>
  </si>
  <si>
    <t>Пункт 12:</t>
  </si>
  <si>
    <t>Наличие ППТ и проекта плана развития ОЭЗ</t>
  </si>
  <si>
    <t>Пункт 13:</t>
  </si>
  <si>
    <t>Наличие анализа эколог рисков</t>
  </si>
  <si>
    <t>Критерии</t>
  </si>
  <si>
    <t>Правила создания ОЭЗ</t>
  </si>
  <si>
    <t>Требования к инвест проектам реализ. Резидентами ОЭЗ</t>
  </si>
  <si>
    <t>Источники фин-ния д.б. определены, резидент должен подтвердить в пис.форме готовность реализовать заявл. Инвест проет с прилож. Подтв.док:</t>
  </si>
  <si>
    <t>собств.ср-ва; ср-ва учредителей (участников); документ подтв.со стороны кред орг. Предосавить фин-ние</t>
  </si>
  <si>
    <t>проработка вариаетов обеспечения инвест проекта инфрастуктурой, сырьем, оборудованием, рынками сбыта.</t>
  </si>
  <si>
    <t>Мин объем инвест. (без учета НДС):</t>
  </si>
  <si>
    <t>Пункт 4:</t>
  </si>
  <si>
    <t>не менее 400 млн.руб. для строй инфраструкт. Мор., реч. Порта или аэропорта в портовой ОЭЗ</t>
  </si>
  <si>
    <t xml:space="preserve">не менее 120 млн.руб. пром. - производственная деят-ть, Логистика,  реконстр. Инфраструкт в мор., реч. портах </t>
  </si>
  <si>
    <t>не менее 50 млн.руб. в проекты в соответсв. С Постановлением …связанные с достижением технолог суверенитета и структурной адаптпцией экономики РФ</t>
  </si>
  <si>
    <t>нет лимита для инвест проектов осуществ. Технико-внедренческой деятельности, тур.-рекреационной и портовой деятельности</t>
  </si>
  <si>
    <t>если реализ на готовых произв площадках без предоставл зем участков, то миним объем инвест 2/3 от вышеперечисл.</t>
  </si>
  <si>
    <t>Резидент ОЭЗ в первые 3 года должен осущесвить не менее 2/3 общего объема инвест.</t>
  </si>
  <si>
    <t>Дисконт срок окупаемости менее 15 лет</t>
  </si>
  <si>
    <t>При инвест в размере выше 5 млрд.руб. трепования п.5 и 6 не применяются</t>
  </si>
  <si>
    <t>Ставка по налогу на прибыль</t>
  </si>
  <si>
    <t>Проценты по кредитам, уплаченные за год</t>
  </si>
  <si>
    <t>Расчет средневзвешенной ставки по налогу на прибыль (%)</t>
  </si>
  <si>
    <t>Средневзвешенная ставка по налогу на прибыль за период кредитования (%)</t>
  </si>
  <si>
    <t>* на основании прогноза ЦБ РФ по ключевой ставке от 16.02.2024 и полученных писем от банков</t>
  </si>
  <si>
    <t>Ставка по предоставленным кредитам*</t>
  </si>
  <si>
    <t>Среднегодовое значение величины кредитных средств по годам (тыс.рублей)</t>
  </si>
  <si>
    <t>Расчет средневзвешенной стоимости кредита (%)</t>
  </si>
  <si>
    <t>Средневзвешенная стоимость кредита по резиденту (%)</t>
  </si>
  <si>
    <t>Безрисковая доходность (US treasures 10 years at 01/03/2024)</t>
  </si>
  <si>
    <t>(1-T)</t>
  </si>
  <si>
    <t>(1 минус ставка по налогу на прибыль)</t>
  </si>
  <si>
    <t>х</t>
  </si>
  <si>
    <t>Rd</t>
  </si>
  <si>
    <t xml:space="preserve">Средневзвешенная стоимость кредитов </t>
  </si>
  <si>
    <t>Суммарная стоимость капитала</t>
  </si>
  <si>
    <t>D</t>
  </si>
  <si>
    <t>Re</t>
  </si>
  <si>
    <t>Требуемая доходность на собственный капитал</t>
  </si>
  <si>
    <t>E</t>
  </si>
  <si>
    <t>Расчет средневзвешенной стоимости капитала (WACC)</t>
  </si>
  <si>
    <t>Ставка по кредиту</t>
  </si>
  <si>
    <t>Льготная ставка по кредиту</t>
  </si>
  <si>
    <t>УСН</t>
  </si>
  <si>
    <t>Исходные условия для проекта</t>
  </si>
  <si>
    <t>Исходные условия</t>
  </si>
  <si>
    <t>Внешние условия. Макроэкономические параметры.</t>
  </si>
  <si>
    <t>PP - окупаемость простая</t>
  </si>
  <si>
    <t xml:space="preserve">DPP - окупаемость дисконтированная </t>
  </si>
  <si>
    <t xml:space="preserve"> IRR - Внутрянняя норма доходности денежного потока</t>
  </si>
  <si>
    <t>Расчет кредита для чувствительности</t>
  </si>
  <si>
    <t>Диапазон изменения показателей:</t>
  </si>
  <si>
    <t>Возможные значения чистой прибыли/убытка:</t>
  </si>
  <si>
    <t>Возможные значения:</t>
  </si>
  <si>
    <t>Выручки:</t>
  </si>
  <si>
    <t>Себестоимости:</t>
  </si>
  <si>
    <t>Ставки дисконтирования:</t>
  </si>
  <si>
    <t>Ставки по кредиту:</t>
  </si>
  <si>
    <t>при изменении выручки:</t>
  </si>
  <si>
    <t>при изменении себестоимости:</t>
  </si>
  <si>
    <t>Возможные значения IRR:</t>
  </si>
  <si>
    <t>при ставке по кредиту:</t>
  </si>
  <si>
    <t>Всё что ниже только для расчетов:</t>
  </si>
  <si>
    <t>Выручка (процент изменения):</t>
  </si>
  <si>
    <t>Себестоимость (процент изменения):</t>
  </si>
  <si>
    <t>Расчет чувствительности проекта</t>
  </si>
  <si>
    <t>Проценты к уплате  
(расчет по данному листу!)</t>
  </si>
  <si>
    <t>Уплата НДС по опер.деят-ти
(расчет по данному листу!)</t>
  </si>
  <si>
    <t>Уплата налога на прибыль
(расчет по данному листу!)</t>
  </si>
  <si>
    <t>Оплата процентов по кредитам и займам (расчет по данному листу!)</t>
  </si>
  <si>
    <t>Чувствительность</t>
  </si>
  <si>
    <t>DDP (дисконтированный срок окупаемости), лет</t>
  </si>
  <si>
    <t>Анализ чувствительности проекта к изменению выручки, себестоимости, ставки по кредиту, ставке дисконтирования</t>
  </si>
  <si>
    <t>Расчетные листы</t>
  </si>
  <si>
    <t>Дополнительные листы (в последствии можно и удалить)</t>
  </si>
  <si>
    <t>Индекс реальной заработной платы</t>
  </si>
  <si>
    <t>Индекс цен на электроэнергию</t>
  </si>
  <si>
    <t>Индекс цен на теплоснабжение</t>
  </si>
  <si>
    <t>Индекс цен на водоснабж.-водоотв.</t>
  </si>
  <si>
    <t>Индекс цен на газ</t>
  </si>
  <si>
    <t>Баланс</t>
  </si>
  <si>
    <t>Ставка НДФЛ всего, в т.ч.:</t>
  </si>
  <si>
    <t>регион. Бюджет</t>
  </si>
  <si>
    <t>Обратие внимание: расходы на технолог. присоединение включается в первонач. стоимость объектов ОС (Письмо ФНС от 11 января 2018 г. № СД-4-3/155@)</t>
  </si>
  <si>
    <t>График реализации проекта</t>
  </si>
  <si>
    <t>Капитальные вложения</t>
  </si>
  <si>
    <t>Инженерные потребности</t>
  </si>
  <si>
    <t>Численность персонала</t>
  </si>
  <si>
    <t>Значение цветовой палитры</t>
  </si>
  <si>
    <t>Инфляция</t>
  </si>
  <si>
    <t>Ставки</t>
  </si>
  <si>
    <t>Курсы валют</t>
  </si>
  <si>
    <t>Ставки налогов</t>
  </si>
  <si>
    <t>Заработная плата</t>
  </si>
  <si>
    <t>Тарифы на потребляемые ресурсы (без НДС)</t>
  </si>
  <si>
    <t>Инженерные ресурсы</t>
  </si>
  <si>
    <t>Дисконтированный денежный поток</t>
  </si>
  <si>
    <t>Персонал и ФОТ</t>
  </si>
  <si>
    <t>Инвестиции</t>
  </si>
  <si>
    <t>Налог на прибыль фед.бюджет</t>
  </si>
  <si>
    <t>Налог на прибыль рег.бюджет</t>
  </si>
  <si>
    <t>НДФЛ регион.бюджет</t>
  </si>
  <si>
    <t>НДФЛ местный бюджет</t>
  </si>
  <si>
    <t>Всего налогов и взносов, в т.ч.:</t>
  </si>
  <si>
    <t>федеральный бюджет</t>
  </si>
  <si>
    <t>региональный обл. бюджет</t>
  </si>
  <si>
    <t>Дашборд ОЭЗ. Налоги и сборы</t>
  </si>
  <si>
    <t>Дашборд налоги и сборы</t>
  </si>
  <si>
    <t>Использование налоговых льгот всего, в т.ч.:</t>
  </si>
  <si>
    <t>льгота по налогу на имущество</t>
  </si>
  <si>
    <t>Общий режим налогообожения</t>
  </si>
  <si>
    <t>Режим налогообожения ОЭЗ</t>
  </si>
  <si>
    <t>Логический контроль корректности расчетов</t>
  </si>
  <si>
    <t>Контроль соблюдения условий Постановления Правительства № 159 от 14.02.2024</t>
  </si>
  <si>
    <t>Пункт 1:</t>
  </si>
  <si>
    <t>Лист контроль корректности</t>
  </si>
  <si>
    <t>Обратите внимание: тут следует изменять показатели для анализа Чувствительности проекта:</t>
  </si>
  <si>
    <t>Тут следует вносить желаемый диапазон изменения входных показателей:</t>
  </si>
  <si>
    <t>Прямые субсидии из бюджетов РФ в данный проект. Основание:</t>
  </si>
  <si>
    <t>Финансы. Выплата кредитов</t>
  </si>
  <si>
    <t>Обратие внимание: расходы на технолог. присоединение включается в первонач. стоимость объектов ОС 
(Письмо ФНС от 11 января 2018 г. № СД-4-3/155@)</t>
  </si>
  <si>
    <t>стресс-тест</t>
  </si>
  <si>
    <t>Итоговые таблицы, представленные в текстовых файлах с описанием проекта</t>
  </si>
  <si>
    <t xml:space="preserve">Ставка дисконтирования </t>
  </si>
  <si>
    <t>Рыночная ставка по кредиту</t>
  </si>
  <si>
    <t>льгота по соц.взносам</t>
  </si>
  <si>
    <t>п.п.</t>
  </si>
  <si>
    <t>разместил тут т.к. столбец B широкий с наименов.показателей</t>
  </si>
  <si>
    <t>Обратите внимаие: льготные кредиты выделяем!</t>
  </si>
  <si>
    <t>Расчеты по упрощенной систееа наогообл.</t>
  </si>
  <si>
    <t xml:space="preserve">(%) ставка дисконтирования связана с WACC </t>
  </si>
  <si>
    <t>Ниже данные для расчетов на данном листе</t>
  </si>
  <si>
    <t>фед. бюджет</t>
  </si>
  <si>
    <t>рег. бюджет</t>
  </si>
  <si>
    <t>регион. бюджет</t>
  </si>
  <si>
    <t>налога на прибыль в федеральный бюджет</t>
  </si>
  <si>
    <t>налога на прибыль в региональный обл. бюджет</t>
  </si>
  <si>
    <t>Параметры стресс-теста // задаем другие ставки
 относительно обоснованных выше</t>
  </si>
  <si>
    <t>Кадастр.стоимость - База расчета арендной платы за землю</t>
  </si>
  <si>
    <t>Таблицы данных для исследования</t>
  </si>
  <si>
    <t>Стандартный режим</t>
  </si>
  <si>
    <t>Льготный режим ОЭЗ</t>
  </si>
  <si>
    <t>НДФЛ</t>
  </si>
  <si>
    <t>Расчет численности и оплаты труда</t>
  </si>
  <si>
    <t>данные выставил примерно для проверки вычисляемости стресс-теста</t>
  </si>
  <si>
    <t>Ключевые показатели проекта</t>
  </si>
  <si>
    <t>Листы с индикативами проектов в режиме стресс-тест</t>
  </si>
  <si>
    <t>Ключевые показатели эффективности проекта без льгот. Окупаемость проекта. В режиме: стресс-тест</t>
  </si>
  <si>
    <t>Бюджет (прогноз) доходов и расходов в режиме: стресс-тест</t>
  </si>
  <si>
    <t>Бюджет (прогноз) движение денежных средств в режиме: стресс-тест</t>
  </si>
  <si>
    <t>Баланс в режиме: стресс-тест</t>
  </si>
  <si>
    <t>Эти листы возможно убрать перед запуском:</t>
  </si>
  <si>
    <t>Инвестиции. Расчет амортизации основных средств. Расчет ускоренной амортизации</t>
  </si>
  <si>
    <t>Персонал. ФОТ</t>
  </si>
  <si>
    <t>1 Юань</t>
  </si>
  <si>
    <t>руб. за юань</t>
  </si>
  <si>
    <t>Ставка НДС</t>
  </si>
  <si>
    <t>Ставки социальных взносов и НДФЛ</t>
  </si>
  <si>
    <t>Ставка дисконтирования (см. лист WACC)</t>
  </si>
  <si>
    <t>Налог на прибыль с льготой 
(расчет по данному листу!)</t>
  </si>
  <si>
    <t>Контроль соответствия идентичных показателей</t>
  </si>
  <si>
    <t>Выручка (лист БДР)</t>
  </si>
  <si>
    <t>Сумма кредита/займа на кон. Периода (лист Финансы)</t>
  </si>
  <si>
    <t>Выручка без НДС (лист Выручка)</t>
  </si>
  <si>
    <t>Долгосрочные кредиты и займы (лист Баланс)</t>
  </si>
  <si>
    <t>Основные средства после ускор.аморт. (лист Баланс)</t>
  </si>
  <si>
    <t>Чистый ден.поток опер.деят-ть (лист КПЭ)</t>
  </si>
  <si>
    <t>Чистый ден.поток опер.деят-ть (лист БДДС)</t>
  </si>
  <si>
    <t>Стоимость сырья (лист Себестоимость)</t>
  </si>
  <si>
    <t>Сырье и материалы для производства (лист БДР)</t>
  </si>
  <si>
    <t>Стоимость ресурсов без НДС (лист Ресурсы)</t>
  </si>
  <si>
    <t>Основные средства после ускор.аморт. (лист Инвестиции)</t>
  </si>
  <si>
    <t>Дашборд 1. Графики из данных листа "ИтогТаблицы"</t>
  </si>
  <si>
    <t>Нераспределенная прибыль (лист Баланс)</t>
  </si>
  <si>
    <t>Чистая прибыль/убыток нарастающим итогом (лист БДР)</t>
  </si>
  <si>
    <t>Оплата труда основн.произв. персонала с соц.взносами (лист БДР)</t>
  </si>
  <si>
    <t>Оплата труда адм.-управл. персонала с соц.взносами (лист БДР)</t>
  </si>
  <si>
    <t>Оплата труда с соц.взносами по  льготному тарифу (лист Персонал)</t>
  </si>
  <si>
    <t>Начисление % (лист Финансы)</t>
  </si>
  <si>
    <t>Всего адм.хоз.расходы без НДС (лист АдмРасходы)</t>
  </si>
  <si>
    <t>Прочие доходы (лист БДР)</t>
  </si>
  <si>
    <t>Прочие административные расходы (лист БДР)</t>
  </si>
  <si>
    <t>Прочие расходы (лист БДР)</t>
  </si>
  <si>
    <t>Всего прочие доходы (лист ПрочДоходы)</t>
  </si>
  <si>
    <t>Всего прочие расходы (лист ПрочРасходы)</t>
  </si>
  <si>
    <t>Оплата процентов по кредитам и займам (лист БДДС)</t>
  </si>
  <si>
    <t>Проценты к уплате (лист БДР)</t>
  </si>
  <si>
    <t>Налог на землю с льготой (лист БДР)</t>
  </si>
  <si>
    <t>Налог на имущество с льготой (лист БДР)</t>
  </si>
  <si>
    <t>Плата за землю</t>
  </si>
  <si>
    <t>Налог на имущество к начисл. по льготной ставке (лист НалИмущество)</t>
  </si>
  <si>
    <t>Налог на прибыль с льготой (лист БДР)</t>
  </si>
  <si>
    <t>Налог на прибыль к начисл (лист НалПрибыль)</t>
  </si>
  <si>
    <t>Поступления от продаж (лист БДДС)</t>
  </si>
  <si>
    <t>Выручка с НДС (лист Выручка)</t>
  </si>
  <si>
    <t>Поступления от прочих доходов (лист БДДС)</t>
  </si>
  <si>
    <t>Оплата проч.расходов (лист БДДС)</t>
  </si>
  <si>
    <t>Уплата земельного налога  с льготой (лист БДДС)</t>
  </si>
  <si>
    <t>Уплата налога на имущество с льготой (лист БДДС)</t>
  </si>
  <si>
    <t>Уплата налога на прибыль  с льготой (лист БДДС)</t>
  </si>
  <si>
    <t>Оплата сырья и материалов (лист БДДС)</t>
  </si>
  <si>
    <t>Стоимость сырья с НДС (лист Себестоимость)</t>
  </si>
  <si>
    <t>Оплата ресурсов (лист БДДС)</t>
  </si>
  <si>
    <t>Стоимость ресурсов с НДС (лист Ресурсы)</t>
  </si>
  <si>
    <t>Адм.-хозяйственные расходы (лист БДДС)</t>
  </si>
  <si>
    <t>Платежи по адм.хоз. расходам с НДС (лист АдмРасходы)</t>
  </si>
  <si>
    <t>Общепроизвод. Расходы (лист БДДС)</t>
  </si>
  <si>
    <t>Платежи по общепроизводственные расходы с НДС (лист ОбщПрРасходы)</t>
  </si>
  <si>
    <t>Общепроизводственные расходы (лист БДР)</t>
  </si>
  <si>
    <t>Всего общепроизводственные расходы без НДС (лист ОбщПрРасходы)</t>
  </si>
  <si>
    <t>Уплата НДС по опер.деят-ти (лист БДДС)</t>
  </si>
  <si>
    <t>НДС начисл.к уплате в бюджет (лист НДС)</t>
  </si>
  <si>
    <t>Возмещение НДС по инвест.деят-ти (лист БДДС)</t>
  </si>
  <si>
    <t>НДС за период инвест деят-ть (лист Инвестиции)</t>
  </si>
  <si>
    <t>капитальные вложения (лист БДДС)</t>
  </si>
  <si>
    <t>Платежи за период с НДС (лист Инвестиции)</t>
  </si>
  <si>
    <t>Взнос в УК или складочный капитал (лист БДДС)</t>
  </si>
  <si>
    <t>Взносы в Уставный (складочный) капитал или иные взносы участников всего (лист Финансы)</t>
  </si>
  <si>
    <t>Кредиты и займы полученные (лист БДДС)</t>
  </si>
  <si>
    <t>Привлечение кредита/займа (лист Финансы)</t>
  </si>
  <si>
    <t>Возврат кредитов и займов (лист БДДС)</t>
  </si>
  <si>
    <t>Погашение кредита/займа (лист Финансы)</t>
  </si>
  <si>
    <t>Контроль и сверка</t>
  </si>
  <si>
    <t>Чистый денежный поток по опер. деят-ти (лист Чувствительность)</t>
  </si>
  <si>
    <t>Чистый денежный поток по опер. деят-ти (лист БДДС)</t>
  </si>
  <si>
    <t>Чистый денежный поток по фин. деят-ти (лист Чувствительность)</t>
  </si>
  <si>
    <t>Чистый денежный поток по фин. деят-ти (лист БДДС)</t>
  </si>
  <si>
    <t>Чистый денежный поток по инвест. деят-ти (лист Чувствительность)</t>
  </si>
  <si>
    <t>Чистый денежный поток по инвест. деят-ти (лист БДДС)</t>
  </si>
  <si>
    <t>&lt;добавить приформировании вводных стресс-теста&gt;</t>
  </si>
  <si>
    <t>руб.за кВт/час</t>
  </si>
  <si>
    <t>Ставки с листа "Макро"</t>
  </si>
  <si>
    <t>Ставки изм. на заданную величину</t>
  </si>
  <si>
    <t>разн.</t>
  </si>
  <si>
    <t>Дефицит(-)/профицит(+)</t>
  </si>
  <si>
    <t>Подтвержденные лимит</t>
  </si>
  <si>
    <t>Свободный денежный поток</t>
  </si>
  <si>
    <t>Свободный денежный поток нарастающим итогом</t>
  </si>
  <si>
    <t>Объект 1 - недвижимость (база для расчета налога на имущество)</t>
  </si>
  <si>
    <t>тыс. м3/сут.</t>
  </si>
  <si>
    <t>Вода (тыс. м3/сут.)</t>
  </si>
  <si>
    <t>Газ (тыс. м3/сут.)</t>
  </si>
  <si>
    <t>руб. за гигакал/ч</t>
  </si>
  <si>
    <t>гигакал/ч</t>
  </si>
  <si>
    <t>руб. за мегавт</t>
  </si>
  <si>
    <t>DCF (чистая приведенная стоимость), млн.рублей</t>
  </si>
  <si>
    <t>DCF с листа КПЭ</t>
  </si>
  <si>
    <t>DCF</t>
  </si>
  <si>
    <t>DCF (ставка дисконт.15%) млн.₽:</t>
  </si>
  <si>
    <t>Дашборд. Графики из данных листа "ИтогТаблицы"</t>
  </si>
  <si>
    <t>Дашборд. Основные графики: БДР, БДДС, Баланс, Инвестиции, Финансирование</t>
  </si>
  <si>
    <r>
      <t xml:space="preserve">Налог на имущество </t>
    </r>
    <r>
      <rPr>
        <b/>
        <sz val="11"/>
        <color theme="1"/>
        <rFont val="Times New Roman"/>
        <family val="1"/>
        <charset val="204"/>
      </rPr>
      <t>льгота</t>
    </r>
  </si>
  <si>
    <r>
      <t xml:space="preserve">Ставка Налога на землю </t>
    </r>
    <r>
      <rPr>
        <b/>
        <sz val="11"/>
        <color theme="1"/>
        <rFont val="Times New Roman"/>
        <family val="1"/>
        <charset val="204"/>
      </rPr>
      <t>льгота</t>
    </r>
  </si>
  <si>
    <r>
      <rPr>
        <b/>
        <sz val="11"/>
        <color theme="1"/>
        <rFont val="Times New Roman"/>
        <family val="1"/>
        <charset val="204"/>
      </rPr>
      <t>Льготный</t>
    </r>
    <r>
      <rPr>
        <sz val="11"/>
        <color theme="1"/>
        <rFont val="Times New Roman"/>
        <family val="1"/>
        <charset val="204"/>
      </rPr>
      <t xml:space="preserve"> пониженный тариф соц.взносов 7,6%</t>
    </r>
  </si>
  <si>
    <r>
      <t xml:space="preserve">CF от </t>
    </r>
    <r>
      <rPr>
        <b/>
        <sz val="11"/>
        <color theme="0" tint="-0.34998626667073579"/>
        <rFont val="Times New Roman"/>
        <family val="1"/>
        <charset val="204"/>
      </rPr>
      <t>операционной</t>
    </r>
    <r>
      <rPr>
        <sz val="11"/>
        <color theme="0" tint="-0.34998626667073579"/>
        <rFont val="Times New Roman"/>
        <family val="1"/>
        <charset val="204"/>
      </rPr>
      <t xml:space="preserve"> деят-ти</t>
    </r>
  </si>
  <si>
    <r>
      <t xml:space="preserve">CF от </t>
    </r>
    <r>
      <rPr>
        <b/>
        <sz val="11"/>
        <color theme="0" tint="-0.34998626667073579"/>
        <rFont val="Times New Roman"/>
        <family val="1"/>
        <charset val="204"/>
      </rPr>
      <t>инвестиционной</t>
    </r>
    <r>
      <rPr>
        <sz val="11"/>
        <color theme="0" tint="-0.34998626667073579"/>
        <rFont val="Times New Roman"/>
        <family val="1"/>
        <charset val="204"/>
      </rPr>
      <t xml:space="preserve"> деят-ти</t>
    </r>
  </si>
  <si>
    <r>
      <t xml:space="preserve">Ставка дисконтирования (+ / - </t>
    </r>
    <r>
      <rPr>
        <u/>
        <sz val="11"/>
        <rFont val="Times New Roman"/>
        <family val="1"/>
        <charset val="204"/>
      </rPr>
      <t>изменения в процентных пунктах от ставки WACC</t>
    </r>
    <r>
      <rPr>
        <sz val="11"/>
        <rFont val="Times New Roman"/>
        <family val="1"/>
        <charset val="204"/>
      </rPr>
      <t>):</t>
    </r>
  </si>
  <si>
    <r>
      <t xml:space="preserve">Ставка по кредиту (+ / - </t>
    </r>
    <r>
      <rPr>
        <u/>
        <sz val="11"/>
        <rFont val="Times New Roman"/>
        <family val="1"/>
        <charset val="204"/>
      </rPr>
      <t>изменения в процентных пунктах от ставки по кредиту</t>
    </r>
    <r>
      <rPr>
        <sz val="11"/>
        <rFont val="Times New Roman"/>
        <family val="1"/>
        <charset val="204"/>
      </rPr>
      <t>):</t>
    </r>
  </si>
  <si>
    <r>
      <t xml:space="preserve">CF от </t>
    </r>
    <r>
      <rPr>
        <b/>
        <sz val="11"/>
        <color theme="1"/>
        <rFont val="Times New Roman"/>
        <family val="1"/>
        <charset val="204"/>
      </rPr>
      <t>операционной</t>
    </r>
    <r>
      <rPr>
        <sz val="11"/>
        <color theme="1"/>
        <rFont val="Times New Roman"/>
        <family val="1"/>
        <charset val="204"/>
      </rPr>
      <t xml:space="preserve"> деят-ти</t>
    </r>
  </si>
  <si>
    <r>
      <t xml:space="preserve">CF от </t>
    </r>
    <r>
      <rPr>
        <b/>
        <sz val="11"/>
        <color theme="1"/>
        <rFont val="Times New Roman"/>
        <family val="1"/>
        <charset val="204"/>
      </rPr>
      <t>инвестиционной</t>
    </r>
    <r>
      <rPr>
        <sz val="11"/>
        <color theme="1"/>
        <rFont val="Times New Roman"/>
        <family val="1"/>
        <charset val="204"/>
      </rPr>
      <t xml:space="preserve"> деят-ти</t>
    </r>
  </si>
  <si>
    <r>
      <t xml:space="preserve">Чистый денежный поток по </t>
    </r>
    <r>
      <rPr>
        <b/>
        <sz val="11"/>
        <color theme="1"/>
        <rFont val="Times New Roman"/>
        <family val="1"/>
        <charset val="204"/>
      </rPr>
      <t>операционной</t>
    </r>
    <r>
      <rPr>
        <sz val="11"/>
        <color theme="1"/>
        <rFont val="Times New Roman"/>
        <family val="1"/>
        <charset val="204"/>
      </rPr>
      <t xml:space="preserve"> деят-ти</t>
    </r>
  </si>
  <si>
    <r>
      <t xml:space="preserve">Чистый денежный поток по </t>
    </r>
    <r>
      <rPr>
        <b/>
        <sz val="11"/>
        <color theme="1"/>
        <rFont val="Times New Roman"/>
        <family val="1"/>
        <charset val="204"/>
      </rPr>
      <t>инвестиционной</t>
    </r>
    <r>
      <rPr>
        <sz val="11"/>
        <color theme="1"/>
        <rFont val="Times New Roman"/>
        <family val="1"/>
        <charset val="204"/>
      </rPr>
      <t xml:space="preserve"> деят-ти</t>
    </r>
  </si>
  <si>
    <t xml:space="preserve">проверить </t>
  </si>
  <si>
    <t>Паспорт инвестиционного проекта</t>
  </si>
  <si>
    <t>наименование инвестиционного проекта</t>
  </si>
  <si>
    <t>(далее - заявитель инвестиционного проекта, ОЭЗ соответственно)</t>
  </si>
  <si>
    <t>Полное или сокращенное (при наличии) наименование заявителя инвестиционного проекта - юридического лица либо фамилия, имя, отчество (при наличии) заявителя инвестиционного проекта - индивидуального предпринимателя</t>
  </si>
  <si>
    <t>Идентификационный номер налогоплательщика</t>
  </si>
  <si>
    <t>Дата регистрации заявителя инвестиционного проекта в качестве юридического лица (индивидуального предпринимателя), наименование регистрирующего органа</t>
  </si>
  <si>
    <t>Информация о структуре уставного капитала заявителя инвестиционного проекта - юридического лица (перечень учредителей (участников, акционеров) с указанием размера долей их участия и государства, резидентом которого является каждый учредитель (участник, акционер) (при наличии), конечных выгодоприобретателях</t>
  </si>
  <si>
    <t>Адрес в пределах места нахождения (в отношении юридического лица), адрес регистрации по месту жительства (в отношении индивидуального предпринимателя)</t>
  </si>
  <si>
    <t>Фамилия, имя, отчество (при наличии) уполномоченного представителя заявителя инвестиционного проекта (при наличии)</t>
  </si>
  <si>
    <t>Должность уполномоченного представителя заявителя инвестиционного проекта (при наличии)</t>
  </si>
  <si>
    <t>Адрес электронной почты (при наличии)</t>
  </si>
  <si>
    <t>Телефон</t>
  </si>
  <si>
    <t>Фамилия, имя, отчество (при наличии) ответственного исполнителя по инвестиционному проекту</t>
  </si>
  <si>
    <t>Должность ответственного исполнителя по инвестиционному проекту (при наличии)</t>
  </si>
  <si>
    <t>II. Общие сведения об инвестиционном проекте</t>
  </si>
  <si>
    <t>Наименование инвестиционного проекта</t>
  </si>
  <si>
    <t>Краткое описание инвестиционного проекта</t>
  </si>
  <si>
    <t>Сфера деятельности инвестиционного проекта</t>
  </si>
  <si>
    <t>Предполагаемые виды деятельности заявителя инвестиционного проекта в соответствии с Общероссийским классификатором видов экономической деятельности</t>
  </si>
  <si>
    <t>Основные виды предполагаемых к производству (выполнению, оказанию) товаров (работ, услуг) с информацией об их уникальности и значимости для достижения целей создания ОЭЗ (при наличии)</t>
  </si>
  <si>
    <t>Соответствие установленным постановлением Правительства Российской Федерации от 15 апреля 2023 г. N 603 "Об утверждении приоритетных направлений проектов технологического суверенитета и проектов структурной адаптации экономики Российской Федерации и Положения об условиях отнесения проектов к проектам технологического суверенитета и проектам структурной адаптации экономики Российской Федерации, о представлении сведений о проектах технологического суверенитета и проектах структурной адаптации экономики Российской Федерации и ведении реестра указанных проектов, а также о требованиях к организациям, уполномоченным представлять заключения о соответствии проектов требованиям к проектам технологического суверенитета и проектам структурной адаптации экономики Российской Федерации" приоритетным направлениям государственной политики Российской Федерации по развитию инвестиционной деятельности в Российской Федерации и привлечению внебюджетных средств в проекты, связанные с достижением технологического суверенитета и структурной адаптацией экономики Российской Федерации</t>
  </si>
  <si>
    <t>Плановая проектная мощность инвестиционного проекта</t>
  </si>
  <si>
    <t>в том числе по этапам (при наличии)</t>
  </si>
  <si>
    <t>Уровень локализации производства продукции, предусмотренной инвестиционным проектом, на территории Российской Федерации и использования отечественного сырья, материалов и комплектующих (при наличии)</t>
  </si>
  <si>
    <t>Планируемый срок реализации инвестиционного проекта</t>
  </si>
  <si>
    <t>Дата начала финансирования инвестиционного проекта</t>
  </si>
  <si>
    <t>Планируемая дата окончания инвестиционной фазы инвестиционного проекта</t>
  </si>
  <si>
    <t>Планируемая дата выхода инвестиционного проекта на проектную мощность</t>
  </si>
  <si>
    <t>III. Территория реализации инвестиционного проекта</t>
  </si>
  <si>
    <t>Субъект Российской Федерации</t>
  </si>
  <si>
    <t>Муниципальное образование</t>
  </si>
  <si>
    <t>Реквизиты постановления Правительства Российской Федерации, которым оформлено решение о создании ОЭЗ &lt;1&gt;</t>
  </si>
  <si>
    <t>Наименование инвестиционной площадки ОЭЗ (при наличии)</t>
  </si>
  <si>
    <t>IV. Инфраструктурные потребности инвестиционного проекта</t>
  </si>
  <si>
    <t>Теплоснабжение, Гкал/ч</t>
  </si>
  <si>
    <t>Необходимость предоставления для реализации инвестиционного проекта земельных участков, помещений либо готовых производственных площадей (с указанием их площади &lt;2&gt; и кадастровых номеров)</t>
  </si>
  <si>
    <t>V. Основные показатели инвестиционного проекта</t>
  </si>
  <si>
    <t>Заявленный объем инвестиций, в том числе капитальных вложений (без учета налога на добавленную стоимость), млн рублей</t>
  </si>
  <si>
    <t>в том числе на конец 3-го года реализации инвестиционного проекта</t>
  </si>
  <si>
    <t>в том числе за счет собственных источников финансирования (с указанием источников)</t>
  </si>
  <si>
    <t>в том числе за счет иных источников финансирования (с указанием источников и условий привлечения финансирования)</t>
  </si>
  <si>
    <t>Заявленное к созданию количество рабочих мест, ед.</t>
  </si>
  <si>
    <t>Ожидаемые налоговые поступления в бюджеты бюджетной системы Российской Федерации, млн рублей</t>
  </si>
  <si>
    <t>в том числе в федеральный бюджет</t>
  </si>
  <si>
    <t>в том числе в бюджет субъекта Российской Федерации</t>
  </si>
  <si>
    <t>в том числе в местный бюджет</t>
  </si>
  <si>
    <t>Ожидаемый объем льгот к использованию, млн рублей</t>
  </si>
  <si>
    <t>Иная дополнительная информация об инвестиционном проекте в зависимости от его отраслевой специфики (при наличии)</t>
  </si>
  <si>
    <t>VI. Основные финансово-экономические показатели инвестиционного проекта</t>
  </si>
  <si>
    <t>Внутренняя норма доходности, %</t>
  </si>
  <si>
    <t>без ОЭЗ</t>
  </si>
  <si>
    <t>с ОЭЗ</t>
  </si>
  <si>
    <t>Чистая приведенная стоимость инвестиционного проекта, млн рублей</t>
  </si>
  <si>
    <t>Простой срок окупаемости инвестиционного проекта, лет</t>
  </si>
  <si>
    <t>Дисконтированный срок окупаемости инвестиционного проекта, лет</t>
  </si>
  <si>
    <t>Прибыль до вычета процентов и налогов, млн рублей</t>
  </si>
  <si>
    <t>Прибыль до вычета процентов, налогов, износа и амортизации, млн рублей</t>
  </si>
  <si>
    <t>Индекс прибыльности, %</t>
  </si>
  <si>
    <t>Приложение N 1
к приказу Минэкономразвития России
от 1 апреля 2024 г. N 189</t>
  </si>
  <si>
    <r>
      <t>Газоснабжение, 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>/ч</t>
    </r>
  </si>
  <si>
    <t>I. Лицо, намеревающееся получить статус резидента особой экономической зоны</t>
  </si>
  <si>
    <t>Документы, подтверждающие наличие собственных средств, и (или) средств учредителей (участников), и (или) средств соинвесторов для реализации инвестиционного проекта, и (или) документального подтверждения со стороны кредитной организации о готовности предоставить финансирование для реализации инвестиционного проекта (при наличии).</t>
  </si>
  <si>
    <t>Документы о проработке возможных вариантов обеспечения инвестиционного проекта необходимыми инфраструктурой, сырьем, оборудованием, каналами (рынками) сбыта соответствующей продукции (услуг) (при наличии).</t>
  </si>
  <si>
    <t>Копии учредительных документов (для юридических лиц) (при наличии).</t>
  </si>
  <si>
    <t>Копия свидетельства о государственной регистрации юридического лица или индивидуального предпринимателя и копия свидетельства о постановке на учет в налоговом органе (при наличии).</t>
  </si>
  <si>
    <t>Иные документы и пояснительные материалы, представленные заявителем инвестиционного проекта по собственной инициативе (при наличии).</t>
  </si>
  <si>
    <t>(подпись руководителя юридического лица - заявителя инвестиционного проекта, индивидуального предпринимателя - заявителя инвестиционного проекта)</t>
  </si>
  <si>
    <t>I. Исходные данные</t>
  </si>
  <si>
    <t>Макроэкономические данные</t>
  </si>
  <si>
    <t>Обязательные платежи</t>
  </si>
  <si>
    <t>Предпосылки по учетной политике (при наличии)</t>
  </si>
  <si>
    <t>Особенности расчетов с контрагентами (при наличии)</t>
  </si>
  <si>
    <t>Ставка дисконтирования и метод ее расчета с обоснованием компонентов и ссылками на источники (при наличии)</t>
  </si>
  <si>
    <t>II. Базовые прогнозные расчеты</t>
  </si>
  <si>
    <t>Детализация основных направлений расходов (постоянных и переменных) в рамках реализации инвестиционного проекта</t>
  </si>
  <si>
    <t>в том числе прогноз объемов затрат, связанных с персоналом (с моделированием штатной структуры и численности)</t>
  </si>
  <si>
    <t>в том числе прогноз объемов затрат, связанных с потреблением инфраструктурных мощностей (с указанием видов инфраструктуры)</t>
  </si>
  <si>
    <t>в том числе прогноз объемов затрат инвестиционного характера (с указанием направлений расходования средств)</t>
  </si>
  <si>
    <t>Детализация источников финансирования инвестиционного проекта за счет собственных и внешних (заемных) средств (с указанием основных условий привлечения средств)</t>
  </si>
  <si>
    <t>Детализация основных направлений доходов (постоянных и переменных) в рамках реализации инвестиционного проекта</t>
  </si>
  <si>
    <t>в том числе прогноз выручки (с указанием структуры и источников ее формирования)</t>
  </si>
  <si>
    <t>Иные базовые прогнозные расчеты (при наличии)</t>
  </si>
  <si>
    <t>III. Финансово-экономические показатели</t>
  </si>
  <si>
    <t>Прогнозный баланс</t>
  </si>
  <si>
    <t>Прогнозный отчет о финансовых результатах</t>
  </si>
  <si>
    <t>Прогнозный отчет о движении денежных средств</t>
  </si>
  <si>
    <t>IV. Бюджетная эффективность</t>
  </si>
  <si>
    <t>Налоги (по уровням бюджетов бюджетной системы Российской Федерации и по видам платежей)</t>
  </si>
  <si>
    <t>Таможенные платежи</t>
  </si>
  <si>
    <t>Налоговые льготы (по уровням бюджетов бюджетной системы Российской Федерации и по видам платежей)</t>
  </si>
  <si>
    <t>Таможенные льготы</t>
  </si>
  <si>
    <t>Льготы по тарифам страховых взносов</t>
  </si>
  <si>
    <t>V. Финансово-экономическая эффективность</t>
  </si>
  <si>
    <t>Внутренняя норма доходности</t>
  </si>
  <si>
    <t>Чистая приведенная стоимость</t>
  </si>
  <si>
    <t>Простой срок окупаемости</t>
  </si>
  <si>
    <t>Дисконтированный срок окупаемости</t>
  </si>
  <si>
    <t>Индекс прибыльности инвестиций</t>
  </si>
  <si>
    <t>Приложение N 2
к приказу Минэкономразвития России
от 1 апреля 2024 г. N 189</t>
  </si>
  <si>
    <t>Финансовая модель инвестиционного проекта</t>
  </si>
  <si>
    <t>Иные расчеты, характеризующие бюджетную эффективность инвестиционного проекта (при наличии)</t>
  </si>
  <si>
    <t>Иные пояснения, исходные данные и предпосылки к финансовой модели инвестиционного проекта (при наличии)</t>
  </si>
  <si>
    <t>Приложение N 4
к приказу Минэкономразвития России
от 1 апреля 2024 г. N 189</t>
  </si>
  <si>
    <t>Приложение N 3
к приказу Минэкономразвития России
от 1 апреля 2024 г. N 189</t>
  </si>
  <si>
    <t>1. Для оценки паспорта инвестиционного проекта (далее - паспорт) применяются следующие критерии:</t>
  </si>
  <si>
    <t>1.1. Соответствие цели инвестиционного проекта целям создания особых экономических зон (далее - ОЭЗ), а также перспективному плану развития ОЭЗ.</t>
  </si>
  <si>
    <t>1.2. Степень финансовой устойчивости инвестиционного проекта.</t>
  </si>
  <si>
    <t>1.3. Наличие положительного решения (одобрения заключения кредитного договора) кредитного комитета банка в случае привлечения кредитного финансирования для реализации инвестиционного проекта согласно паспорту.</t>
  </si>
  <si>
    <t>1.4. Дисконтированный срок окупаемости инвестиционного проекта.</t>
  </si>
  <si>
    <t>1.5. Наличие необходимой для обеспечения деятельности лица, намеревающегося получить статус резидента особой экономической зоны (далее - заявитель инвестиционного проекта), предусмотренной паспортом, инженерной, коммунальной, транспортной и иной инфраструктуры ОЭЗ в соответствии с существующей и прогнозной загрузкой мощностей.</t>
  </si>
  <si>
    <t>1.6. Уровень проработки маркетинговой стратегии, включая анализ каналов (рынков) сбыта, сбыта (рынков) продукции (услуг), предусмотренных паспортом, а также поставки оборудования, необходимого для реализации инвестиционного проекта.</t>
  </si>
  <si>
    <t>1.7. Наличие успешного опыта реализации заявителем инвестиционного проекта (учредителями, бенефициарами) проектов в сфере деятельности, предусмотренной паспортом (в том числе с указанием их количества и объемов осуществленных инвестиций).</t>
  </si>
  <si>
    <t>1.8. Уровень локализации производства продукции, предусмотренной паспортом, на территории Российской Федерации и использования отечественного сырья, материалов и комплектующих (для инвестиционных проектов, предусматривающих осуществление промышленно-производственной деятельности).</t>
  </si>
  <si>
    <t>2. Для оценки финансовой модели инвестиционного проекта (далее - финансовая модель) применяются следующие критерии:</t>
  </si>
  <si>
    <t>2.1. Полнота финансовой модели.</t>
  </si>
  <si>
    <t>2.2. Математическая корректность финансовой модели.</t>
  </si>
  <si>
    <t>2.3. Общая логика построения финансовой модели</t>
  </si>
  <si>
    <t>Выполнено критериев:</t>
  </si>
  <si>
    <t>Всего критериев:</t>
  </si>
  <si>
    <t>Баллы</t>
  </si>
  <si>
    <t>3) в иных случаях паспорту баллы не присваиваются.</t>
  </si>
  <si>
    <t>2) в иных случаях паспорту баллы не присваиваются.</t>
  </si>
  <si>
    <t>3) в иных случаях паспорту баллы не присваиваются</t>
  </si>
  <si>
    <t>2) в иных случаях финансовой модели баллы не присваиваются.</t>
  </si>
  <si>
    <t>Результаты оценки паспорта и финансовой модели учитываются при принятии решения о заключении органами управления ОЭЗ с заявителем инвестиционного проекта соглашения об осуществлении промышленно-производственной, технико-внедренческой, туристско-рекреационной деятельности и (или) об осуществлении деятельности в портовой ОЭЗ.</t>
  </si>
  <si>
    <r>
      <t xml:space="preserve">1) в случае соответствия инвестиционного проекта целям создания особой экономической зоны (далее - ОЭЗ) и перспективному плану развития ОЭЗ паспорту присваивается </t>
    </r>
    <r>
      <rPr>
        <b/>
        <sz val="14"/>
        <color theme="1"/>
        <rFont val="Times New Roman"/>
        <family val="1"/>
        <charset val="204"/>
      </rPr>
      <t>10 (десять) баллов</t>
    </r>
    <r>
      <rPr>
        <sz val="14"/>
        <color theme="1"/>
        <rFont val="Times New Roman"/>
        <family val="1"/>
        <charset val="204"/>
      </rPr>
      <t>;</t>
    </r>
  </si>
  <si>
    <r>
      <t xml:space="preserve">2) в случае несоответствия инвестиционного проекта перспективному плану развития ОЭЗ, но его соответствия целям создания ОЭЗ паспорту присваивается </t>
    </r>
    <r>
      <rPr>
        <b/>
        <sz val="14"/>
        <color theme="1"/>
        <rFont val="Times New Roman"/>
        <family val="1"/>
        <charset val="204"/>
      </rPr>
      <t>1 (один) балл</t>
    </r>
    <r>
      <rPr>
        <sz val="14"/>
        <color theme="1"/>
        <rFont val="Times New Roman"/>
        <family val="1"/>
        <charset val="204"/>
      </rPr>
      <t>;</t>
    </r>
  </si>
  <si>
    <r>
      <t xml:space="preserve">1) паспорту, предусматривающему финансирование инвестиционного проекта за счет собственных средств или средств учредителей лица, намеревающегося получить статус резидента особой экономической зоны (далее - заявитель инвестиционного проекта) (с представлением подтверждающих документов), в полном объеме, присваивается </t>
    </r>
    <r>
      <rPr>
        <b/>
        <sz val="14"/>
        <color theme="1"/>
        <rFont val="Times New Roman"/>
        <family val="1"/>
        <charset val="204"/>
      </rPr>
      <t>3 (три) балла;</t>
    </r>
  </si>
  <si>
    <r>
      <t xml:space="preserve">2) паспорту, предусматривающему привлечение заемных средств, при наличии документов, представленных предполагаемым займодавцем и подтверждающих сроки, порядок и объемы предоставляемых денежных средств, в том числе процентные ставки за пользование заемными средствами, присваивается </t>
    </r>
    <r>
      <rPr>
        <b/>
        <sz val="14"/>
        <color theme="1"/>
        <rFont val="Times New Roman"/>
        <family val="1"/>
        <charset val="204"/>
      </rPr>
      <t>2 (два) балла</t>
    </r>
    <r>
      <rPr>
        <sz val="14"/>
        <color theme="1"/>
        <rFont val="Times New Roman"/>
        <family val="1"/>
        <charset val="204"/>
      </rPr>
      <t>;</t>
    </r>
  </si>
  <si>
    <r>
      <t xml:space="preserve">1) в случае если предусмотренный паспортом дисконтированный срок окупаемости инвестиционного проекта не превышает 5 (пять) лет, паспорту присваивается </t>
    </r>
    <r>
      <rPr>
        <b/>
        <sz val="14"/>
        <color theme="1"/>
        <rFont val="Times New Roman"/>
        <family val="1"/>
        <charset val="204"/>
      </rPr>
      <t>3 (три) балла</t>
    </r>
    <r>
      <rPr>
        <sz val="14"/>
        <color theme="1"/>
        <rFont val="Times New Roman"/>
        <family val="1"/>
        <charset val="204"/>
      </rPr>
      <t>;</t>
    </r>
  </si>
  <si>
    <r>
      <t xml:space="preserve">1) при наличии положительного решения (одобрения заключения кредитного договора) кредитного комитета банка в случае привлечения кредитного финансирования для реализации инвестиционного проекта паспорту присваивается </t>
    </r>
    <r>
      <rPr>
        <b/>
        <sz val="14"/>
        <color theme="1"/>
        <rFont val="Times New Roman"/>
        <family val="1"/>
        <charset val="204"/>
      </rPr>
      <t>2 (два) балла</t>
    </r>
    <r>
      <rPr>
        <sz val="14"/>
        <color theme="1"/>
        <rFont val="Times New Roman"/>
        <family val="1"/>
        <charset val="204"/>
      </rPr>
      <t>;</t>
    </r>
  </si>
  <si>
    <r>
      <t xml:space="preserve">2) в случае если предусмотренный паспортом дисконтированный срок окупаемости инвестиционного проекта составляет от 5 (пяти) до 15 (пятнадцати) лет, паспорту присваивается </t>
    </r>
    <r>
      <rPr>
        <b/>
        <sz val="14"/>
        <color theme="1"/>
        <rFont val="Times New Roman"/>
        <family val="1"/>
        <charset val="204"/>
      </rPr>
      <t>1 (один) балл</t>
    </r>
    <r>
      <rPr>
        <sz val="14"/>
        <color theme="1"/>
        <rFont val="Times New Roman"/>
        <family val="1"/>
        <charset val="204"/>
      </rPr>
      <t>;</t>
    </r>
  </si>
  <si>
    <r>
      <t xml:space="preserve">1) при наличии на день представления паспорта необходимой для обеспечения деятельности заявителя инвестиционного проекта инфраструктуры ОЭЗ паспорту присваивается </t>
    </r>
    <r>
      <rPr>
        <b/>
        <sz val="14"/>
        <color theme="1"/>
        <rFont val="Times New Roman"/>
        <family val="1"/>
        <charset val="204"/>
      </rPr>
      <t>3 (три) балла</t>
    </r>
    <r>
      <rPr>
        <sz val="14"/>
        <color theme="1"/>
        <rFont val="Times New Roman"/>
        <family val="1"/>
        <charset val="204"/>
      </rPr>
      <t>;</t>
    </r>
  </si>
  <si>
    <r>
      <t>2) в случае отсутствия на день представления паспорта необходимой для обеспечения деятельности заявителя инвестиционного проекта инфраструктуры ОЭЗ при условии, что необходимые для реализации инвестиционного проекта инфраструктурные объекты планируются к строительству в рамках перспективного плана развития ОЭЗ либо на основании предоставленных заявителем инвестиционного проекта подтверждающих документов и материалов, паспорту присваивается</t>
    </r>
    <r>
      <rPr>
        <b/>
        <sz val="14"/>
        <color theme="1"/>
        <rFont val="Times New Roman"/>
        <family val="1"/>
        <charset val="204"/>
      </rPr>
      <t xml:space="preserve"> 2 (два) балла;</t>
    </r>
  </si>
  <si>
    <r>
      <rPr>
        <b/>
        <sz val="14"/>
        <color theme="1"/>
        <rFont val="Times New Roman"/>
        <family val="1"/>
        <charset val="204"/>
      </rPr>
      <t>За каждый</t>
    </r>
    <r>
      <rPr>
        <sz val="14"/>
        <color theme="1"/>
        <rFont val="Times New Roman"/>
        <family val="1"/>
        <charset val="204"/>
      </rPr>
      <t xml:space="preserve"> успешно выполненный инвестиционный проект в предусмотренной паспортом сфере деятельности с аналогичным или большим объемом инвестиций паспорту присваивается </t>
    </r>
    <r>
      <rPr>
        <b/>
        <sz val="14"/>
        <color theme="1"/>
        <rFont val="Times New Roman"/>
        <family val="1"/>
        <charset val="204"/>
      </rPr>
      <t>1 (один) балл</t>
    </r>
    <r>
      <rPr>
        <sz val="14"/>
        <color theme="1"/>
        <rFont val="Times New Roman"/>
        <family val="1"/>
        <charset val="204"/>
      </rPr>
      <t>. При этом по рассматриваемому критерию паспорту не может быть присвоено более 2 (двух) баллов.</t>
    </r>
  </si>
  <si>
    <r>
      <t xml:space="preserve">1) в случае если коэффициент локализации производства продукции и использования отечественного сырья, материалов и комплектующих варьируется в пределах от 100% до 60%, паспорту присваивается </t>
    </r>
    <r>
      <rPr>
        <b/>
        <sz val="14"/>
        <color theme="1"/>
        <rFont val="Times New Roman"/>
        <family val="1"/>
        <charset val="204"/>
      </rPr>
      <t>3 (три) балла</t>
    </r>
    <r>
      <rPr>
        <sz val="14"/>
        <color theme="1"/>
        <rFont val="Times New Roman"/>
        <family val="1"/>
        <charset val="204"/>
      </rPr>
      <t>;</t>
    </r>
  </si>
  <si>
    <r>
      <t xml:space="preserve">2) в случае если коэффициент локализации производства продукции и использования отечественного сырья, материалов и комплектующих варьируется в пределах от 59% до 30% или производство продукции не предусмотрено паспортом, паспорту присваивается </t>
    </r>
    <r>
      <rPr>
        <b/>
        <sz val="14"/>
        <color theme="1"/>
        <rFont val="Times New Roman"/>
        <family val="1"/>
        <charset val="204"/>
      </rPr>
      <t>2 (два) балла</t>
    </r>
    <r>
      <rPr>
        <sz val="14"/>
        <color theme="1"/>
        <rFont val="Times New Roman"/>
        <family val="1"/>
        <charset val="204"/>
      </rPr>
      <t>;</t>
    </r>
  </si>
  <si>
    <r>
      <t xml:space="preserve">1) в случае если в финансовой модели имеются все исходные данные финансовой модели, расчетов, обязательных атрибутов (разделов), подтверждено наличие достаточности для проведения этапов оценки финансовой модели, включая наличие сценариев реализации инвестиционного проекта без учета ОЭЗ и с учетом ОЭЗ, финансовой модели присваивается </t>
    </r>
    <r>
      <rPr>
        <b/>
        <sz val="14"/>
        <color theme="1"/>
        <rFont val="Times New Roman"/>
        <family val="1"/>
        <charset val="204"/>
      </rPr>
      <t>3 (три) балла</t>
    </r>
    <r>
      <rPr>
        <sz val="14"/>
        <color theme="1"/>
        <rFont val="Times New Roman"/>
        <family val="1"/>
        <charset val="204"/>
      </rPr>
      <t>;</t>
    </r>
  </si>
  <si>
    <t>Бюджет доходов и расходов с учетом льгот - Прогнозный отчет о финансовых результатах</t>
  </si>
  <si>
    <t>Бюджет движения денежных средств с учетом льгот - Прогнозный отчет о движении денежных средств</t>
  </si>
  <si>
    <t>КРИТЕРИИ
ОЦЕНКИ ПАСПОРТА ИНВЕСТИЦИОННОГО ПРОЕКТА И ФИНАНСОВОЙ МОДЕЛИ ИНВЕСТИЦИОННОГО ПРОЕКТА</t>
  </si>
  <si>
    <t>МЕТОДИКА
ОЦЕНКИ ПАСПОРТА ИНВЕСТИЦИОННОГО ПРОЕКТА И ФИНАНСОВОЙ МОДЕЛИ ИНВЕСТИЦИОННОГО ПРОЕКТА</t>
  </si>
  <si>
    <t>Справочно: минимально допустимое значение для положительной оценки паспорта инвестиционного проекта</t>
  </si>
  <si>
    <t>Оценка Паспорта инвестиционного проекта</t>
  </si>
  <si>
    <t>Оценка паспорта по критерию, предусмотренному подпунктом 1.1 пункта 1 Критериев, осуществляется следующим образом:</t>
  </si>
  <si>
    <t>Оценка паспорта по критерию, предусмотренному подпунктом 1.2 пункта 1 Критериев, осуществляется следующим образом:</t>
  </si>
  <si>
    <t>Оценка паспорта по критерию, предусмотренному подпунктом 1.3 пункта 1 Критериев, осуществляется следующим образом:</t>
  </si>
  <si>
    <t>Оценка паспорта по критерию, предусмотренному подпунктом 1.4 пункта 1 Критериев, осуществляется следующим образом:</t>
  </si>
  <si>
    <t>Оценка паспорта по критерию, предусмотренному подпунктом 1.5 пункта 1 Критериев, осуществляется следующим образом:</t>
  </si>
  <si>
    <t>Оценка паспорта по критерию, предусмотренному подпунктом 1.6 пункта 1 Критериев, осуществляется следующим образом:</t>
  </si>
  <si>
    <t>Оценка паспорта по критерию, предусмотренному подпунктом 1.8 пункта 1 Критериев, осуществляется следующим образом:</t>
  </si>
  <si>
    <r>
      <t xml:space="preserve">3) в случае если коэффициент локализации производства продукции и использования отечественного сырья, материалов и комплектующих ниже 29%, паспорту присваивается </t>
    </r>
    <r>
      <rPr>
        <b/>
        <sz val="14"/>
        <color theme="1"/>
        <rFont val="Times New Roman"/>
        <family val="1"/>
        <charset val="204"/>
      </rPr>
      <t>1 (один) балл</t>
    </r>
    <r>
      <rPr>
        <sz val="14"/>
        <color theme="1"/>
        <rFont val="Times New Roman"/>
        <family val="1"/>
        <charset val="204"/>
      </rPr>
      <t xml:space="preserve">. 
</t>
    </r>
    <r>
      <rPr>
        <i/>
        <sz val="12"/>
        <color theme="1"/>
        <rFont val="Times New Roman"/>
        <family val="1"/>
        <charset val="204"/>
      </rPr>
      <t>Коэффициент локализации производства продукции и использования отечественного сырья, материалов и комплектующих (Кл) применяется для инвестиционных проектов в промышленно-производственной деятельности и рассчитывается по формуле: 
Кл = (С -Кин - Мин - Уин) / С *100%
С - себестоимость, рассчитываемая как сумма затрат на комплектующие изделия, материалы и сырье российского и иностранного происхождения, услуги сторонних российских и иностранных организаций, заработную плату и прочие затраты;
Кин - затраты на комплектующие изделия иностранного происхождения;
Мин - затраты на материалы и сырье иностранного происхождения;
Уин - затраты на услуги иностранных организаций.</t>
    </r>
  </si>
  <si>
    <t>Оценка паспорта по критерию, предусмотренному подпунктом 1.7 пункта 1 Критериев, осуществляется следующим образом:</t>
  </si>
  <si>
    <t>Оценка Финансовой модели проекта</t>
  </si>
  <si>
    <t>Оценка финансовой модели по критерию, предусмотренному подпунктом 2.1 пункта 2 Критериев, осуществляется следующим образом:</t>
  </si>
  <si>
    <t>Оценка финансовой модели по критерию, предусмотренному подпунктом 2.2 пункта 2 Критериев, осуществляется следующим образом:</t>
  </si>
  <si>
    <r>
      <t xml:space="preserve">1) в случае отсутствия в финансовой модели арифметических и технических ошибок, несоответствий в расчетах в составе финансовой модели, а также методических и расчетных ошибок в финансовых показателях инвестиционного проекта (коэффициентах) финансовой модели присваивается </t>
    </r>
    <r>
      <rPr>
        <b/>
        <sz val="14"/>
        <color theme="1"/>
        <rFont val="Times New Roman"/>
        <family val="1"/>
        <charset val="204"/>
      </rPr>
      <t>3 (три) балла</t>
    </r>
    <r>
      <rPr>
        <sz val="14"/>
        <color theme="1"/>
        <rFont val="Times New Roman"/>
        <family val="1"/>
        <charset val="204"/>
      </rPr>
      <t>;</t>
    </r>
  </si>
  <si>
    <t>Оценка финансовой модели по критерию, предусмотренному подпунктом 2.3 пункта 2 Критериев, осуществляется следующим образом:</t>
  </si>
  <si>
    <r>
      <t>1) в случае согласованности основных атрибутов (разделов) финансовой модели между собой, а также с паспортом финансовой модели присваивается</t>
    </r>
    <r>
      <rPr>
        <b/>
        <sz val="14"/>
        <color theme="1"/>
        <rFont val="Times New Roman"/>
        <family val="1"/>
        <charset val="204"/>
      </rPr>
      <t xml:space="preserve"> 3 (три) балла</t>
    </r>
    <r>
      <rPr>
        <sz val="14"/>
        <color theme="1"/>
        <rFont val="Times New Roman"/>
        <family val="1"/>
        <charset val="204"/>
      </rPr>
      <t>;</t>
    </r>
  </si>
  <si>
    <t>Административно-хозяйственные расходы</t>
  </si>
  <si>
    <t>Приложения:</t>
  </si>
  <si>
    <t>Расчет оценки паспорта инвестиционного проекта и финансовой модели для получения статуса резидента</t>
  </si>
  <si>
    <t>Для получения статуса резидента</t>
  </si>
  <si>
    <t>разработчик шаблона финансово-экономической модели
ООО "Центр исследований и развития", ИНН 9719028227</t>
  </si>
  <si>
    <t xml:space="preserve"> ссылка на источник ("базовый сценарий" стр.49, табл.3.2): 
</t>
  </si>
  <si>
    <t>Ссылка на Постановление Администрации Томской области от 29.09.2023 № 459а "Об одобрении прогноза социально-экономического развития Томской области на 2024 год и на плановый период 2025 - 2026 годов"</t>
  </si>
  <si>
    <t xml:space="preserve"> ссылка на источник ("базовый сценарий" стр.49, табл.3.2):</t>
  </si>
  <si>
    <r>
      <t>Основание для льготной ставки: &lt;</t>
    </r>
    <r>
      <rPr>
        <sz val="11"/>
        <color rgb="FFFF0000"/>
        <rFont val="Times New Roman"/>
        <family val="1"/>
        <charset val="204"/>
      </rPr>
      <t>Предоставить кредитный договор или иной документ, подтверждающий наличие льготной ставки</t>
    </r>
    <r>
      <rPr>
        <sz val="11"/>
        <color theme="1"/>
        <rFont val="Times New Roman"/>
        <family val="1"/>
        <charset val="204"/>
      </rPr>
      <t>&gt;</t>
    </r>
  </si>
  <si>
    <t xml:space="preserve">Основание: Закон Томской области от 13.03.2006 N 30-ОЗ "О предоставлении льготы по налогу на прибыль организаций резидентам особой экономической зоны технико-внедренческого типа" (принят постановлением Государственной Думы Томской области от 28.02.2006 N </t>
  </si>
  <si>
    <t>Ссылка на Закон от 07.04.2009 № 51-ОЗ "Об установлении на территории Томской области налоговых ставок по налогу, взимаемому в связи с применением упрощенной системы налогообложения"</t>
  </si>
  <si>
    <t>Основание: Закон Томской области от 27.11.2003 N 148-ОЗ О налоге на имущество организаций</t>
  </si>
  <si>
    <t xml:space="preserve">Основание: п.9 ст.395 "Налоговый кодекс Российской Федерации (часть вторая)" от 05.08.2000 N 117-ФЗ </t>
  </si>
  <si>
    <t>Приказ Минэкономразвития России от 27.05.2024 N 313 "Об утверждении методики расчета арендной платы по договорам аренды государственного и (или) муниципального имущества, расположенного в границах особой экономической зоны, заключаемым с резидентом особой</t>
  </si>
  <si>
    <t>СРЕДНЕМЕСЯЧНАЯ НОМИНАЛЬНАЯ НАЧИСЛЕННАЯ ЗАРАБОТНАЯ ПЛАТА ПО ДАННЫМ ГОССТАТА ТОМСКОЙ ОБЛАСТИ</t>
  </si>
  <si>
    <t>&lt;Объект строительства&gt;</t>
  </si>
  <si>
    <t>Заполняется только по объектам строительства (недвижимость)</t>
  </si>
  <si>
    <t>&lt;Оборудование&gt;</t>
  </si>
  <si>
    <t>Заполняется только по остальным объектам основных средств (оборудование и т.д. и т.п.)</t>
  </si>
  <si>
    <t>Электроэнергия (мощность для выдачи ТУ)</t>
  </si>
  <si>
    <t>Вода пром. Назначения (мощность для выдачи ТУ)</t>
  </si>
  <si>
    <t>Вода хоз.- быт. Назначения (мощность для выдачи ТУ)</t>
  </si>
  <si>
    <t>Водоотведение пром. Назначения (мощность для выдачи ТУ)</t>
  </si>
  <si>
    <t>Водоотведение хоз.- быт. Назначения (мощность для выдачи ТУ)</t>
  </si>
  <si>
    <t>Ливневая канализация (мощность для выдачи ТУ)</t>
  </si>
  <si>
    <t>Теплоснабжение (мощность для выдачи ТУ)</t>
  </si>
  <si>
    <t>Газ (мощность для выдачи ТУ)</t>
  </si>
  <si>
    <t>нм.м3/час</t>
  </si>
  <si>
    <t>тыс.кВт</t>
  </si>
  <si>
    <t>МВт</t>
  </si>
  <si>
    <t>МВт/час</t>
  </si>
  <si>
    <t>Вода пром. Назначения (потребление)</t>
  </si>
  <si>
    <t>м3/сут.</t>
  </si>
  <si>
    <t>Электроснабжение, МВт/час</t>
  </si>
  <si>
    <r>
      <t>Водоснабжение, 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>/сутки</t>
    </r>
  </si>
  <si>
    <r>
      <t>Водоотведение, 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>/сутки</t>
    </r>
  </si>
  <si>
    <t>Вода хоз.- быт. Назначения (потребление)</t>
  </si>
  <si>
    <t>Водоотведение пром. Назначения (потребление)</t>
  </si>
  <si>
    <t>Электроэнергия (потребление)</t>
  </si>
  <si>
    <t>Водоотведение хоз.- быт. Назначения (потребление)</t>
  </si>
  <si>
    <t>Ливневая канализация (потребление)</t>
  </si>
  <si>
    <t>Теплоснабжение (потребление)</t>
  </si>
  <si>
    <t>Газ (потребление)</t>
  </si>
  <si>
    <t>гигакал</t>
  </si>
  <si>
    <t>тыс. м3</t>
  </si>
  <si>
    <t>Планируемое потребление электроэнергии накопительным итогом</t>
  </si>
  <si>
    <t>Планируемое потребление воды промышленного назначения накопительным итогом</t>
  </si>
  <si>
    <t>Заявляемая мощность для выдачи ТУ на подключение к сетям водоснабжения</t>
  </si>
  <si>
    <t>Заявляемая мощность энергопринимающих устройств для выдачи ТУ на подключение к сетям электроснабжения</t>
  </si>
  <si>
    <t>Планируемое потребление воды хозбытового назначения накопительным итогом</t>
  </si>
  <si>
    <t>Заявляемая мощность для выдачи ТУ на подключение к сетям водоотведения</t>
  </si>
  <si>
    <t>Планируемый объем водоотведения накопительным итогом</t>
  </si>
  <si>
    <t>Заявляемая мощность для выдачи ТУ на подключение к канализационным сетям</t>
  </si>
  <si>
    <t>Заявляемая мощность для выдачи ТУ на подключение к сетям теплоснабжения</t>
  </si>
  <si>
    <t>Заявляемая мощность для выдачи ТУ на подключение к сетям газоснабжения</t>
  </si>
  <si>
    <t>Планируемое потребление газа накопительным итогом</t>
  </si>
  <si>
    <t>Планируемое потребление тепла накопительным итогом</t>
  </si>
  <si>
    <t>Планируемый объем канализационных стоков накопительным итогом</t>
  </si>
  <si>
    <t>Указать планируемые сроки проектирования зданий и сооружений</t>
  </si>
  <si>
    <t>Указать планируемые сроки проведения строительно-монтажных работ</t>
  </si>
  <si>
    <t>Указать сроки приобретения оборудования</t>
  </si>
  <si>
    <t>Указать срок ввода в эксплуатацию зданий и сооружений</t>
  </si>
  <si>
    <t xml:space="preserve">Указать планируемую дату запуска производства на территории ОЭЗ </t>
  </si>
  <si>
    <t>2 варианта заполнения данной ячейки: 1) указать в первый год начала производства отпускную цену и далее ее стоимость будет изменяться с учетом темпов инфляции, указанных в закладке "Макро". 2) Вводить по каждому периоду планируемую отпускную стоимость</t>
  </si>
  <si>
    <t>2 варианта заполнения данной ячейки: 1) Ручной ввод производимой продукции. 2) в первом столбце ввести объем производимой продукции в первом году начала производства и указать в строке "темп увеличения продаж"- коэффициент роста/падения производства и произойдет автоматический подсчет</t>
  </si>
  <si>
    <t>Количество единиц сырья на единицу выпускаемой продукции</t>
  </si>
  <si>
    <t>2 варианта заполнения данной ячейки: 1) указать в первый год начала производства стоимость единицы сырья и далее ее стоимость будет изменяться с учетом темпов инфляции, указанных в закладке "Макро". 2) Вводить по каждому периоду планируемую стоимость сырья</t>
  </si>
  <si>
    <t>Томская область</t>
  </si>
  <si>
    <t>г.Томск</t>
  </si>
  <si>
    <t>Постановление Правительства Российской Федерации от 21 декабря 2005г. № 783 «О создании на территории г. Томска особой экономической зоны технико-внедренческого типа».</t>
  </si>
  <si>
    <t>Особая экономическая зона Технико-внедренческого типа г. Томск</t>
  </si>
  <si>
    <t>НИОКР</t>
  </si>
  <si>
    <t>Начало реализации</t>
  </si>
  <si>
    <t>Услуги сторонних организаций</t>
  </si>
  <si>
    <t>Материалы и комплектующие</t>
  </si>
  <si>
    <t>Обслуживание оборудования</t>
  </si>
  <si>
    <t>Командировочные, организация мероприятий и др.</t>
  </si>
  <si>
    <t>Обучение, повышение квалификации</t>
  </si>
  <si>
    <t>Прочие затраты (услуги банка, канцелярия, транспортные и прочие)</t>
  </si>
  <si>
    <t>Реклама, продвижение</t>
  </si>
  <si>
    <t>Налог УСН с льготой</t>
  </si>
  <si>
    <t>Уплата налога УСНО с льготой</t>
  </si>
  <si>
    <t>Ставка Ндс для УСНО</t>
  </si>
  <si>
    <t>УСНО</t>
  </si>
  <si>
    <t>2025-2027</t>
  </si>
  <si>
    <t>Директор</t>
  </si>
  <si>
    <t>Проект соответствует проектам структурной адаптации экономики Российской Федерации (Приложение N 2
к приоритетным направлениям проектов
технологического суверенитета
и проектов структурной адаптации
экономики Российской Федерации):
Направление - 2.6 Разработка программных продуктов и оказание услуг по разработке и тестированию программного обеспечения, в том числе индустриального.
Критерий - код продукции по ОК 034-2014
(КПЕС 2008) (ОКПД2) &lt;*&gt; и (или)
дополнительный критерий соответствия - 62.01</t>
  </si>
  <si>
    <t>2025-2034 гг.</t>
  </si>
  <si>
    <t>2025 г.</t>
  </si>
  <si>
    <t>2027г.</t>
  </si>
  <si>
    <t>2026 г.</t>
  </si>
  <si>
    <t>Входит в стоимость договора аренды</t>
  </si>
  <si>
    <t>Не требуется</t>
  </si>
  <si>
    <t>1. Свидетельство о регистрации.</t>
  </si>
  <si>
    <t>отсутствуют</t>
  </si>
  <si>
    <t>по предоплате</t>
  </si>
  <si>
    <t>Объем инвестиций (млн.руб.), в том числе:</t>
  </si>
  <si>
    <t>Собственные средства (млн.руб.), в том числе:</t>
  </si>
  <si>
    <t>Взносы в уставный капитал  (млн.руб.)</t>
  </si>
  <si>
    <t>Заемные средства  (млн.руб.)</t>
  </si>
  <si>
    <t>Иные источники финансирования(гранты и т.д. и т.п.)</t>
  </si>
  <si>
    <t>1.1</t>
  </si>
  <si>
    <t>1.2</t>
  </si>
  <si>
    <t>1.3</t>
  </si>
  <si>
    <t>1.4</t>
  </si>
  <si>
    <t>1.5</t>
  </si>
  <si>
    <t>1.6</t>
  </si>
  <si>
    <t>1.7</t>
  </si>
  <si>
    <t>1.7.1</t>
  </si>
  <si>
    <t>1.7.2</t>
  </si>
  <si>
    <t>1.7.3</t>
  </si>
  <si>
    <t>2.</t>
  </si>
  <si>
    <t>2.1</t>
  </si>
  <si>
    <t>2.2</t>
  </si>
  <si>
    <t>2.3</t>
  </si>
  <si>
    <t>2.4</t>
  </si>
  <si>
    <t>2.5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</si>
  <si>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</si>
  <si>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</si>
  <si>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</si>
  <si>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</si>
  <si>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</si>
  <si>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</si>
  <si>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</si>
  <si>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</si>
  <si>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</si>
  <si>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</si>
  <si>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4.0</t>
  </si>
  <si>
    <t>4.</t>
  </si>
  <si>
    <t>4.1</t>
  </si>
  <si>
    <t>4.2</t>
  </si>
  <si>
    <t>4.3</t>
  </si>
  <si>
    <t>4.4</t>
  </si>
  <si>
    <t>4.5</t>
  </si>
  <si>
    <t>Оснащение рабочих мест сотрудников</t>
  </si>
  <si>
    <t>Выручка, с НДС</t>
  </si>
  <si>
    <t>5.</t>
  </si>
  <si>
    <t>5.1</t>
  </si>
  <si>
    <t>5.2</t>
  </si>
  <si>
    <t>5.3</t>
  </si>
  <si>
    <t>5.4</t>
  </si>
  <si>
    <t>6.</t>
  </si>
  <si>
    <t>6.1</t>
  </si>
  <si>
    <t>6.2</t>
  </si>
  <si>
    <t>7.</t>
  </si>
  <si>
    <t>7.1</t>
  </si>
  <si>
    <t>7.2</t>
  </si>
  <si>
    <t>8.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</si>
  <si>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</si>
  <si>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</si>
  <si>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</si>
  <si>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</si>
  <si>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</si>
  <si>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</si>
  <si>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</si>
  <si>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</si>
  <si>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</si>
  <si>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</si>
  <si>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</si>
  <si>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9.</t>
  </si>
  <si>
    <t>9.1</t>
  </si>
  <si>
    <t>9.2</t>
  </si>
  <si>
    <t>9.3</t>
  </si>
  <si>
    <t>10.</t>
  </si>
  <si>
    <t>10.1</t>
  </si>
  <si>
    <t>10.2</t>
  </si>
  <si>
    <t>10.3</t>
  </si>
  <si>
    <t>10.4</t>
  </si>
  <si>
    <t>10.5</t>
  </si>
  <si>
    <t>10.6</t>
  </si>
  <si>
    <t>11.</t>
  </si>
  <si>
    <t>11.1</t>
  </si>
  <si>
    <t>11.2</t>
  </si>
  <si>
    <t>11.3</t>
  </si>
  <si>
    <t>12.</t>
  </si>
  <si>
    <t>12.1</t>
  </si>
  <si>
    <t>12.2</t>
  </si>
  <si>
    <t>12.3</t>
  </si>
  <si>
    <t>12.4</t>
  </si>
  <si>
    <t>12.5</t>
  </si>
  <si>
    <t>12.6</t>
  </si>
  <si>
    <t>Налог по УСН, млн.руб</t>
  </si>
  <si>
    <t>8.12</t>
  </si>
  <si>
    <t>Объем продаж, шт.</t>
  </si>
  <si>
    <t>Усно</t>
  </si>
  <si>
    <t>1. Устав.
2. Решение об учреждении общества.
3. Свидетельство о постановке на учет.</t>
  </si>
  <si>
    <t>1) при приложении к паспорту документов и материалов, содержащих анализ каналов (рынков) сбыта, сбыта (рынков) соответствующей продукции (услуг), предусмотренных присваивается 1 (один) балл</t>
  </si>
  <si>
    <t>1. Кредитный договор из банка о предоставлении кредита
2. Выписки по банковскому счету за 2023г., 2024г.
3. Упрощенная бухгалтерская отчетность за 2023г., 2024г.</t>
  </si>
  <si>
    <t xml:space="preserve">1. Решение аккредитации ИТ
2. Свидетельство о государственной регистрации программы для ЭВМ (3 шт)
3. Выписк ЕГРЮЛ
7. Эссе
</t>
  </si>
  <si>
    <t>1. Маркетинговая стратегия</t>
  </si>
  <si>
    <t>Разработка, производство, модернизация и реализация …</t>
  </si>
  <si>
    <t>Наименование сырья 1</t>
  </si>
  <si>
    <t>Наименование сырья 2</t>
  </si>
  <si>
    <t>Наименование сырья 3</t>
  </si>
  <si>
    <t>ООО "..." относится к субъектам малого предпринимательства, применяет упрощенную систему налогообложения. Бухгалтерский учет осуществляется посредством двойной записи на счетах бухгалтерского учета в соответствии с Планом счетов, утвержденным Приказом Минфина РФ от 31.10.2000 N 94н. Ведется раздельный учет финансово-хозяйственных операций, связанных с экспортно-импортной деятельностью, а также не попадающими под налогообложение согласно ст. 149 НК РФ.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</si>
</sst>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_-;\-* #,##0.00_-;_-* &quot;-&quot;??_-;_-@_-"/>
    <numFmt numFmtId="165" formatCode="#,##0_ ;[Red]\-#,##0\ "/>
    <numFmt numFmtId="166" formatCode="#,##0.00_ ;[Red]\-#,##0.00\ "/>
    <numFmt numFmtId="167" formatCode="#,##0;\(#,##0\);&quot;-&quot;"/>
    <numFmt numFmtId="168" formatCode="0.0%"/>
    <numFmt numFmtId="169" formatCode="0.00_ ;[Red]\-0.00\ "/>
    <numFmt numFmtId="170" formatCode="0.000_ ;[Red]\-0.000\ "/>
    <numFmt numFmtId="171" formatCode="dd/mm/yy;@"/>
    <numFmt numFmtId="172" formatCode="0_ ;[Red]\-0\ "/>
    <numFmt numFmtId="173" formatCode="#,##0.0_ ;[Red]\-#,##0.0\ "/>
    <numFmt numFmtId="174" formatCode="0.0_ ;[Red]\-0.0\ "/>
    <numFmt numFmtId="175" formatCode="#,##0.00;\(#,##0.00\);\-"/>
    <numFmt numFmtId="176" formatCode="#,##0.0"/>
    <numFmt numFmtId="177" formatCode="[$-FC19]dd\ mmmm\ yyyy\ \г\.;@"/>
    <numFmt numFmtId="178" formatCode="#,##0.000_ ;[Red]\-#,##0.000\ "/>
    <numFmt numFmtId="179" formatCode="0.000000"/>
  </numFmts>
  <fonts count="1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rgb="FFFF6C0E"/>
      <name val="Tahoma"/>
      <family val="2"/>
      <charset val="204"/>
    </font>
    <font>
      <sz val="10"/>
      <name val="Arial Cyr"/>
      <charset val="204"/>
    </font>
    <font>
      <sz val="9"/>
      <color theme="2" tint="-0.24994659260841701"/>
      <name val="Calibri"/>
      <family val="2"/>
      <charset val="204"/>
      <scheme val="minor"/>
    </font>
    <font>
      <sz val="10"/>
      <color theme="2" tint="-0.2499465926084170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2" tint="-0.2499465926084170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sz val="10"/>
      <color theme="0" tint="-0.249977111117893"/>
      <name val="Arial Cyr"/>
      <charset val="204"/>
    </font>
    <font>
      <sz val="12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EC004F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11"/>
      <color theme="1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2" tint="-0.24994659260841701"/>
      <name val="Times New Roman"/>
      <family val="1"/>
      <charset val="204"/>
    </font>
    <font>
      <b/>
      <sz val="10"/>
      <color theme="2" tint="-0.24994659260841701"/>
      <name val="Times New Roman"/>
      <family val="1"/>
      <charset val="204"/>
    </font>
    <font>
      <sz val="11"/>
      <color theme="0" tint="-0.249977111117893"/>
      <name val="Times New Roman"/>
      <family val="1"/>
      <charset val="204"/>
    </font>
    <font>
      <b/>
      <sz val="11"/>
      <color theme="0" tint="-0.249977111117893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color theme="2" tint="-0.24994659260841701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i/>
      <sz val="11"/>
      <color theme="0" tint="-0.249977111117893"/>
      <name val="Times New Roman"/>
      <family val="1"/>
      <charset val="204"/>
    </font>
    <font>
      <sz val="9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theme="0" tint="-0.14999847407452621"/>
      <name val="Times New Roman"/>
      <family val="1"/>
      <charset val="204"/>
    </font>
    <font>
      <u/>
      <sz val="11"/>
      <color theme="0" tint="-0.34998626667073579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color theme="2" tint="-0.24994659260841701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i/>
      <sz val="11"/>
      <color theme="4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color theme="0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1"/>
      <color theme="2" tint="-0.2499465926084170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theme="2" tint="-0.24994659260841701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b/>
      <sz val="9"/>
      <color theme="2" tint="-0.2499465926084170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EC004F"/>
      <name val="Times New Roman"/>
      <family val="1"/>
      <charset val="204"/>
    </font>
    <font>
      <b/>
      <sz val="11"/>
      <color rgb="FFEC004F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4"/>
      <color theme="1"/>
      <name val="Times New Roman"/>
      <family val="1"/>
      <charset val="204"/>
    </font>
    <font>
      <sz val="18"/>
      <color theme="4"/>
      <name val="Times New Roman"/>
      <family val="1"/>
      <charset val="204"/>
    </font>
    <font>
      <sz val="14"/>
      <color theme="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4"/>
      <name val="Times New Roman"/>
      <family val="1"/>
      <charset val="204"/>
    </font>
    <font>
      <i/>
      <sz val="12"/>
      <color theme="4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color theme="0" tint="-4.9989318521683403E-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rgb="FF0070C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EC004F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sz val="16"/>
      <color theme="0"/>
      <name val="Calibri"/>
      <family val="2"/>
      <charset val="204"/>
      <scheme val="minor"/>
    </font>
    <font>
      <b/>
      <i/>
      <sz val="14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b/>
      <sz val="7"/>
      <color theme="1"/>
      <name val="Montserrat"/>
      <charset val="204"/>
    </font>
    <font>
      <b/>
      <u/>
      <sz val="14"/>
      <color theme="10"/>
      <name val="Calibri"/>
      <family val="2"/>
      <charset val="204"/>
      <scheme val="minor"/>
    </font>
    <font>
      <sz val="13"/>
      <color theme="4"/>
      <name val="Times New Roman"/>
      <family val="1"/>
      <charset val="204"/>
    </font>
    <font>
      <u/>
      <sz val="13"/>
      <color theme="4"/>
      <name val="Times New Roman"/>
      <family val="1"/>
      <charset val="204"/>
    </font>
    <font>
      <sz val="12"/>
      <color theme="4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A3A3A3"/>
        <bgColor indexed="64"/>
      </patternFill>
    </fill>
    <fill>
      <patternFill patternType="solid">
        <fgColor rgb="FFF6F6F8"/>
        <bgColor indexed="64"/>
      </patternFill>
    </fill>
    <fill>
      <patternFill patternType="solid">
        <fgColor rgb="FF1C1C1C"/>
        <bgColor indexed="64"/>
      </patternFill>
    </fill>
    <fill>
      <patternFill patternType="solid">
        <fgColor rgb="FFEC004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BFA"/>
        <bgColor indexed="64"/>
      </patternFill>
    </fill>
    <fill>
      <patternFill patternType="solid">
        <fgColor rgb="FFC8E1B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Gray"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</fills>
  <borders count="6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rgb="FF1E3264"/>
      </left>
      <right style="hair">
        <color rgb="FF1E3264"/>
      </right>
      <top style="hair">
        <color rgb="FF1E3264"/>
      </top>
      <bottom style="hair">
        <color rgb="FF1E32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2" borderId="0" applyNumberFormat="0" applyBorder="0" applyAlignment="0"/>
    <xf numFmtId="0" fontId="2" fillId="0" borderId="0">
      <protection locked="0"/>
    </xf>
    <xf numFmtId="0" fontId="3" fillId="0" borderId="0" applyNumberFormat="0" applyFill="0" applyBorder="0" applyAlignment="0" applyProtection="0"/>
    <xf numFmtId="167" fontId="2" fillId="2" borderId="0"/>
    <xf numFmtId="3" fontId="2" fillId="3" borderId="0">
      <protection locked="0"/>
    </xf>
    <xf numFmtId="167" fontId="8" fillId="2" borderId="0">
      <alignment horizontal="left" vertical="center" indent="2"/>
    </xf>
    <xf numFmtId="0" fontId="9" fillId="0" borderId="0"/>
    <xf numFmtId="0" fontId="19" fillId="0" borderId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" fillId="0" borderId="0"/>
    <xf numFmtId="0" fontId="23" fillId="0" borderId="0"/>
  </cellStyleXfs>
  <cellXfs count="972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/>
    <xf numFmtId="0" fontId="0" fillId="0" borderId="0" xfId="0" applyAlignment="1">
      <alignment vertical="center" wrapText="1"/>
    </xf>
    <xf numFmtId="165" fontId="0" fillId="0" borderId="1" xfId="0" applyNumberFormat="1" applyBorder="1"/>
    <xf numFmtId="0" fontId="0" fillId="2" borderId="0" xfId="0" applyFill="1"/>
    <xf numFmtId="9" fontId="0" fillId="0" borderId="1" xfId="0" applyNumberFormat="1" applyBorder="1"/>
    <xf numFmtId="0" fontId="0" fillId="0" borderId="0" xfId="0" applyAlignment="1">
      <alignment horizontal="center" vertical="center" wrapText="1"/>
    </xf>
    <xf numFmtId="9" fontId="0" fillId="0" borderId="8" xfId="0" applyNumberFormat="1" applyBorder="1"/>
    <xf numFmtId="0" fontId="13" fillId="0" borderId="0" xfId="0" applyFont="1"/>
    <xf numFmtId="0" fontId="14" fillId="0" borderId="0" xfId="0" applyFont="1"/>
    <xf numFmtId="165" fontId="0" fillId="0" borderId="8" xfId="0" applyNumberFormat="1" applyBorder="1"/>
    <xf numFmtId="0" fontId="15" fillId="0" borderId="0" xfId="0" applyFont="1"/>
    <xf numFmtId="172" fontId="16" fillId="0" borderId="0" xfId="7" applyNumberFormat="1" applyFont="1"/>
    <xf numFmtId="0" fontId="0" fillId="0" borderId="0" xfId="0" applyAlignment="1">
      <alignment vertical="center"/>
    </xf>
    <xf numFmtId="0" fontId="0" fillId="3" borderId="0" xfId="0" applyFill="1"/>
    <xf numFmtId="0" fontId="0" fillId="0" borderId="0" xfId="0" applyAlignment="1">
      <alignment horizontal="center" vertical="center"/>
    </xf>
    <xf numFmtId="0" fontId="14" fillId="3" borderId="0" xfId="0" applyFont="1" applyFill="1"/>
    <xf numFmtId="0" fontId="0" fillId="3" borderId="0" xfId="0" applyFill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7" borderId="0" xfId="0" applyFill="1"/>
    <xf numFmtId="0" fontId="0" fillId="0" borderId="0" xfId="0" applyAlignment="1">
      <alignment horizontal="left" vertical="center" wrapText="1"/>
    </xf>
    <xf numFmtId="0" fontId="20" fillId="0" borderId="0" xfId="8" applyFont="1"/>
    <xf numFmtId="0" fontId="20" fillId="0" borderId="0" xfId="8" applyFont="1" applyAlignment="1">
      <alignment horizontal="center" vertical="center"/>
    </xf>
    <xf numFmtId="0" fontId="20" fillId="0" borderId="0" xfId="0" applyFont="1"/>
    <xf numFmtId="165" fontId="0" fillId="0" borderId="3" xfId="0" applyNumberFormat="1" applyBorder="1"/>
    <xf numFmtId="165" fontId="0" fillId="0" borderId="9" xfId="0" applyNumberFormat="1" applyBorder="1"/>
    <xf numFmtId="165" fontId="0" fillId="0" borderId="24" xfId="0" applyNumberFormat="1" applyBorder="1"/>
    <xf numFmtId="165" fontId="0" fillId="0" borderId="6" xfId="0" applyNumberFormat="1" applyBorder="1"/>
    <xf numFmtId="165" fontId="0" fillId="0" borderId="26" xfId="0" applyNumberFormat="1" applyBorder="1"/>
    <xf numFmtId="9" fontId="0" fillId="0" borderId="3" xfId="0" applyNumberFormat="1" applyBorder="1"/>
    <xf numFmtId="9" fontId="0" fillId="0" borderId="6" xfId="0" applyNumberFormat="1" applyBorder="1"/>
    <xf numFmtId="9" fontId="0" fillId="0" borderId="9" xfId="0" applyNumberFormat="1" applyBorder="1"/>
    <xf numFmtId="9" fontId="0" fillId="0" borderId="24" xfId="0" applyNumberFormat="1" applyBorder="1"/>
    <xf numFmtId="9" fontId="0" fillId="0" borderId="26" xfId="0" applyNumberFormat="1" applyBorder="1"/>
    <xf numFmtId="165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vertical="center"/>
    </xf>
    <xf numFmtId="9" fontId="0" fillId="0" borderId="8" xfId="0" applyNumberFormat="1" applyBorder="1" applyAlignment="1">
      <alignment vertical="center"/>
    </xf>
    <xf numFmtId="9" fontId="0" fillId="0" borderId="3" xfId="0" applyNumberFormat="1" applyBorder="1" applyAlignment="1">
      <alignment vertical="center"/>
    </xf>
    <xf numFmtId="9" fontId="0" fillId="0" borderId="29" xfId="0" applyNumberFormat="1" applyBorder="1"/>
    <xf numFmtId="9" fontId="0" fillId="0" borderId="29" xfId="0" applyNumberFormat="1" applyBorder="1" applyAlignment="1">
      <alignment vertical="center"/>
    </xf>
    <xf numFmtId="9" fontId="0" fillId="0" borderId="30" xfId="0" applyNumberFormat="1" applyBorder="1" applyAlignment="1">
      <alignment vertical="center"/>
    </xf>
    <xf numFmtId="9" fontId="0" fillId="0" borderId="23" xfId="0" applyNumberFormat="1" applyBorder="1"/>
    <xf numFmtId="9" fontId="0" fillId="0" borderId="31" xfId="0" applyNumberFormat="1" applyBorder="1"/>
    <xf numFmtId="9" fontId="0" fillId="0" borderId="25" xfId="0" applyNumberFormat="1" applyBorder="1"/>
    <xf numFmtId="9" fontId="0" fillId="0" borderId="32" xfId="0" applyNumberFormat="1" applyBorder="1"/>
    <xf numFmtId="9" fontId="0" fillId="0" borderId="34" xfId="0" applyNumberFormat="1" applyBorder="1"/>
    <xf numFmtId="9" fontId="0" fillId="0" borderId="35" xfId="0" applyNumberFormat="1" applyBorder="1"/>
    <xf numFmtId="9" fontId="1" fillId="0" borderId="27" xfId="0" applyNumberFormat="1" applyFont="1" applyBorder="1"/>
    <xf numFmtId="9" fontId="0" fillId="0" borderId="36" xfId="0" applyNumberFormat="1" applyBorder="1"/>
    <xf numFmtId="9" fontId="0" fillId="0" borderId="37" xfId="0" applyNumberFormat="1" applyBorder="1"/>
    <xf numFmtId="165" fontId="0" fillId="0" borderId="34" xfId="0" applyNumberFormat="1" applyBorder="1"/>
    <xf numFmtId="165" fontId="0" fillId="0" borderId="35" xfId="0" applyNumberFormat="1" applyBorder="1"/>
    <xf numFmtId="165" fontId="0" fillId="0" borderId="36" xfId="0" applyNumberFormat="1" applyBorder="1"/>
    <xf numFmtId="165" fontId="0" fillId="0" borderId="37" xfId="0" applyNumberFormat="1" applyBorder="1"/>
    <xf numFmtId="165" fontId="0" fillId="0" borderId="23" xfId="0" applyNumberFormat="1" applyBorder="1"/>
    <xf numFmtId="165" fontId="0" fillId="0" borderId="25" xfId="0" applyNumberFormat="1" applyBorder="1"/>
    <xf numFmtId="165" fontId="0" fillId="0" borderId="8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65" fontId="0" fillId="0" borderId="29" xfId="0" applyNumberFormat="1" applyBorder="1"/>
    <xf numFmtId="165" fontId="0" fillId="0" borderId="31" xfId="0" applyNumberFormat="1" applyBorder="1"/>
    <xf numFmtId="165" fontId="1" fillId="0" borderId="27" xfId="0" applyNumberFormat="1" applyFont="1" applyBorder="1"/>
    <xf numFmtId="165" fontId="0" fillId="0" borderId="32" xfId="0" applyNumberFormat="1" applyBorder="1"/>
    <xf numFmtId="165" fontId="0" fillId="0" borderId="29" xfId="0" applyNumberFormat="1" applyBorder="1" applyAlignment="1">
      <alignment vertical="center"/>
    </xf>
    <xf numFmtId="165" fontId="0" fillId="0" borderId="30" xfId="0" applyNumberForma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24" fillId="0" borderId="0" xfId="0" applyFont="1"/>
    <xf numFmtId="0" fontId="24" fillId="9" borderId="0" xfId="0" applyFont="1" applyFill="1"/>
    <xf numFmtId="0" fontId="25" fillId="0" borderId="0" xfId="0" applyFont="1" applyAlignment="1">
      <alignment horizontal="center" vertical="center" wrapText="1"/>
    </xf>
    <xf numFmtId="1" fontId="29" fillId="8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31" fillId="0" borderId="0" xfId="3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29" fillId="6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/>
    <xf numFmtId="0" fontId="24" fillId="12" borderId="1" xfId="0" applyFont="1" applyFill="1" applyBorder="1" applyAlignment="1">
      <alignment vertical="center"/>
    </xf>
    <xf numFmtId="0" fontId="24" fillId="16" borderId="1" xfId="0" applyFont="1" applyFill="1" applyBorder="1" applyAlignment="1">
      <alignment vertical="center"/>
    </xf>
    <xf numFmtId="0" fontId="24" fillId="13" borderId="1" xfId="0" applyFont="1" applyFill="1" applyBorder="1" applyAlignment="1">
      <alignment vertical="center"/>
    </xf>
    <xf numFmtId="0" fontId="24" fillId="18" borderId="1" xfId="0" applyFont="1" applyFill="1" applyBorder="1" applyAlignment="1">
      <alignment vertical="center"/>
    </xf>
    <xf numFmtId="0" fontId="32" fillId="14" borderId="1" xfId="0" applyFont="1" applyFill="1" applyBorder="1" applyAlignment="1">
      <alignment horizontal="left" vertical="center" wrapText="1"/>
    </xf>
    <xf numFmtId="0" fontId="32" fillId="25" borderId="1" xfId="0" applyFont="1" applyFill="1" applyBorder="1" applyAlignment="1">
      <alignment horizontal="left" vertical="center" wrapText="1"/>
    </xf>
    <xf numFmtId="0" fontId="24" fillId="17" borderId="1" xfId="0" applyFont="1" applyFill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7" borderId="5" xfId="0" applyFont="1" applyFill="1" applyBorder="1" applyAlignment="1">
      <alignment vertical="top"/>
    </xf>
    <xf numFmtId="0" fontId="24" fillId="0" borderId="3" xfId="0" applyFont="1" applyBorder="1"/>
    <xf numFmtId="0" fontId="24" fillId="24" borderId="1" xfId="0" applyFont="1" applyFill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49" fontId="29" fillId="6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31" fillId="0" borderId="1" xfId="3" applyFont="1" applyFill="1" applyBorder="1" applyAlignment="1">
      <alignment horizontal="left" vertical="center" wrapText="1"/>
    </xf>
    <xf numFmtId="0" fontId="31" fillId="0" borderId="1" xfId="3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24" fillId="7" borderId="5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33" fillId="0" borderId="0" xfId="3" applyFont="1" applyAlignment="1">
      <alignment horizontal="left" vertical="center"/>
    </xf>
    <xf numFmtId="1" fontId="29" fillId="2" borderId="1" xfId="0" applyNumberFormat="1" applyFont="1" applyFill="1" applyBorder="1" applyAlignment="1">
      <alignment horizontal="center"/>
    </xf>
    <xf numFmtId="0" fontId="34" fillId="0" borderId="1" xfId="0" applyFont="1" applyBorder="1" applyAlignment="1">
      <alignment vertical="center" wrapText="1"/>
    </xf>
    <xf numFmtId="16" fontId="24" fillId="0" borderId="1" xfId="0" applyNumberFormat="1" applyFont="1" applyBorder="1" applyAlignment="1">
      <alignment vertical="center" wrapText="1"/>
    </xf>
    <xf numFmtId="0" fontId="24" fillId="7" borderId="5" xfId="0" applyFont="1" applyFill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33" fillId="0" borderId="0" xfId="3" applyFont="1" applyFill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 wrapText="1"/>
    </xf>
    <xf numFmtId="1" fontId="29" fillId="0" borderId="0" xfId="0" applyNumberFormat="1" applyFont="1" applyAlignment="1">
      <alignment horizontal="center"/>
    </xf>
    <xf numFmtId="0" fontId="31" fillId="0" borderId="0" xfId="3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1" fillId="0" borderId="0" xfId="3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3" fillId="0" borderId="0" xfId="3" applyFont="1" applyFill="1" applyAlignment="1">
      <alignment horizontal="left" vertical="center" wrapText="1"/>
    </xf>
    <xf numFmtId="1" fontId="29" fillId="0" borderId="0" xfId="0" applyNumberFormat="1" applyFont="1" applyAlignment="1">
      <alignment horizontal="left" vertical="center"/>
    </xf>
    <xf numFmtId="0" fontId="32" fillId="12" borderId="14" xfId="0" applyFont="1" applyFill="1" applyBorder="1" applyAlignment="1">
      <alignment horizontal="left" vertical="center" wrapText="1"/>
    </xf>
    <xf numFmtId="0" fontId="32" fillId="16" borderId="1" xfId="0" applyFont="1" applyFill="1" applyBorder="1" applyAlignment="1">
      <alignment vertical="center" wrapText="1"/>
    </xf>
    <xf numFmtId="0" fontId="32" fillId="13" borderId="14" xfId="0" applyFont="1" applyFill="1" applyBorder="1" applyAlignment="1">
      <alignment horizontal="left" vertical="center"/>
    </xf>
    <xf numFmtId="0" fontId="32" fillId="14" borderId="14" xfId="0" applyFont="1" applyFill="1" applyBorder="1" applyAlignment="1">
      <alignment horizontal="left" vertical="center" wrapText="1"/>
    </xf>
    <xf numFmtId="0" fontId="32" fillId="25" borderId="14" xfId="0" applyFont="1" applyFill="1" applyBorder="1" applyAlignment="1">
      <alignment horizontal="left" vertical="center" wrapText="1"/>
    </xf>
    <xf numFmtId="0" fontId="35" fillId="17" borderId="14" xfId="0" applyFont="1" applyFill="1" applyBorder="1" applyAlignment="1">
      <alignment horizontal="left" vertical="center"/>
    </xf>
    <xf numFmtId="0" fontId="32" fillId="24" borderId="0" xfId="0" applyFont="1" applyFill="1" applyAlignment="1">
      <alignment horizontal="left" vertical="center" wrapText="1"/>
    </xf>
    <xf numFmtId="0" fontId="36" fillId="0" borderId="0" xfId="3" applyFont="1" applyFill="1" applyBorder="1" applyAlignment="1">
      <alignment horizontal="left" vertical="center"/>
    </xf>
    <xf numFmtId="0" fontId="37" fillId="0" borderId="0" xfId="0" applyFont="1"/>
    <xf numFmtId="0" fontId="27" fillId="0" borderId="0" xfId="0" applyFont="1"/>
    <xf numFmtId="0" fontId="38" fillId="0" borderId="0" xfId="0" applyFont="1"/>
    <xf numFmtId="165" fontId="39" fillId="0" borderId="1" xfId="0" applyNumberFormat="1" applyFont="1" applyBorder="1" applyAlignment="1">
      <alignment horizontal="center" vertical="center"/>
    </xf>
    <xf numFmtId="1" fontId="29" fillId="6" borderId="1" xfId="0" applyNumberFormat="1" applyFont="1" applyFill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/>
    </xf>
    <xf numFmtId="1" fontId="40" fillId="6" borderId="1" xfId="0" applyNumberFormat="1" applyFont="1" applyFill="1" applyBorder="1" applyAlignment="1">
      <alignment horizontal="center"/>
    </xf>
    <xf numFmtId="170" fontId="24" fillId="0" borderId="1" xfId="0" applyNumberFormat="1" applyFont="1" applyBorder="1" applyAlignment="1">
      <alignment horizontal="right"/>
    </xf>
    <xf numFmtId="168" fontId="24" fillId="0" borderId="1" xfId="0" applyNumberFormat="1" applyFont="1" applyBorder="1"/>
    <xf numFmtId="0" fontId="24" fillId="0" borderId="4" xfId="0" applyFont="1" applyBorder="1"/>
    <xf numFmtId="0" fontId="24" fillId="0" borderId="8" xfId="0" applyFont="1" applyBorder="1"/>
    <xf numFmtId="9" fontId="24" fillId="0" borderId="8" xfId="0" applyNumberFormat="1" applyFont="1" applyBorder="1"/>
    <xf numFmtId="165" fontId="24" fillId="0" borderId="1" xfId="0" applyNumberFormat="1" applyFont="1" applyBorder="1" applyAlignment="1">
      <alignment horizontal="right"/>
    </xf>
    <xf numFmtId="166" fontId="24" fillId="0" borderId="8" xfId="0" applyNumberFormat="1" applyFont="1" applyBorder="1"/>
    <xf numFmtId="9" fontId="24" fillId="0" borderId="1" xfId="0" applyNumberFormat="1" applyFont="1" applyBorder="1"/>
    <xf numFmtId="9" fontId="27" fillId="0" borderId="1" xfId="0" applyNumberFormat="1" applyFont="1" applyBorder="1"/>
    <xf numFmtId="168" fontId="24" fillId="0" borderId="8" xfId="0" applyNumberFormat="1" applyFont="1" applyBorder="1"/>
    <xf numFmtId="168" fontId="27" fillId="0" borderId="1" xfId="0" applyNumberFormat="1" applyFont="1" applyBorder="1"/>
    <xf numFmtId="165" fontId="34" fillId="4" borderId="1" xfId="0" applyNumberFormat="1" applyFont="1" applyFill="1" applyBorder="1" applyAlignment="1">
      <alignment vertical="center"/>
    </xf>
    <xf numFmtId="1" fontId="40" fillId="0" borderId="1" xfId="0" applyNumberFormat="1" applyFont="1" applyBorder="1" applyAlignment="1">
      <alignment horizontal="center"/>
    </xf>
    <xf numFmtId="1" fontId="41" fillId="0" borderId="1" xfId="0" applyNumberFormat="1" applyFont="1" applyBorder="1" applyAlignment="1">
      <alignment horizontal="center"/>
    </xf>
    <xf numFmtId="166" fontId="34" fillId="4" borderId="1" xfId="0" applyNumberFormat="1" applyFont="1" applyFill="1" applyBorder="1" applyAlignment="1">
      <alignment vertical="center"/>
    </xf>
    <xf numFmtId="166" fontId="24" fillId="0" borderId="8" xfId="0" applyNumberFormat="1" applyFont="1" applyBorder="1" applyAlignment="1">
      <alignment horizontal="right" vertical="center"/>
    </xf>
    <xf numFmtId="0" fontId="24" fillId="0" borderId="1" xfId="0" applyFont="1" applyBorder="1"/>
    <xf numFmtId="1" fontId="40" fillId="25" borderId="1" xfId="0" applyNumberFormat="1" applyFont="1" applyFill="1" applyBorder="1" applyAlignment="1">
      <alignment horizontal="center"/>
    </xf>
    <xf numFmtId="0" fontId="42" fillId="0" borderId="0" xfId="0" applyFont="1"/>
    <xf numFmtId="165" fontId="24" fillId="0" borderId="1" xfId="0" applyNumberFormat="1" applyFont="1" applyBorder="1" applyAlignment="1">
      <alignment horizontal="right" vertical="center"/>
    </xf>
    <xf numFmtId="166" fontId="24" fillId="0" borderId="1" xfId="0" applyNumberFormat="1" applyFont="1" applyBorder="1" applyAlignment="1">
      <alignment horizontal="right" vertical="center"/>
    </xf>
    <xf numFmtId="0" fontId="31" fillId="0" borderId="0" xfId="3" applyFont="1" applyAlignment="1">
      <alignment horizontal="left" vertical="center"/>
    </xf>
    <xf numFmtId="0" fontId="24" fillId="0" borderId="0" xfId="0" applyFont="1" applyAlignment="1">
      <alignment vertical="center"/>
    </xf>
    <xf numFmtId="0" fontId="43" fillId="0" borderId="0" xfId="0" applyFont="1"/>
    <xf numFmtId="1" fontId="29" fillId="6" borderId="1" xfId="0" applyNumberFormat="1" applyFont="1" applyFill="1" applyBorder="1" applyAlignment="1">
      <alignment horizontal="center"/>
    </xf>
    <xf numFmtId="0" fontId="30" fillId="3" borderId="0" xfId="0" applyFont="1" applyFill="1" applyAlignment="1">
      <alignment textRotation="90"/>
    </xf>
    <xf numFmtId="0" fontId="24" fillId="3" borderId="0" xfId="0" applyFont="1" applyFill="1"/>
    <xf numFmtId="0" fontId="24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165" fontId="39" fillId="0" borderId="0" xfId="0" applyNumberFormat="1" applyFont="1" applyAlignment="1">
      <alignment horizontal="center" vertical="center"/>
    </xf>
    <xf numFmtId="1" fontId="29" fillId="6" borderId="0" xfId="0" applyNumberFormat="1" applyFont="1" applyFill="1" applyAlignment="1">
      <alignment horizontal="center" vertical="center"/>
    </xf>
    <xf numFmtId="165" fontId="39" fillId="0" borderId="0" xfId="0" applyNumberFormat="1" applyFont="1" applyAlignment="1">
      <alignment vertical="center"/>
    </xf>
    <xf numFmtId="9" fontId="24" fillId="0" borderId="0" xfId="0" applyNumberFormat="1" applyFont="1"/>
    <xf numFmtId="165" fontId="32" fillId="0" borderId="0" xfId="0" applyNumberFormat="1" applyFont="1" applyAlignment="1">
      <alignment vertical="center"/>
    </xf>
    <xf numFmtId="0" fontId="24" fillId="0" borderId="0" xfId="0" applyFont="1" applyAlignment="1">
      <alignment wrapText="1"/>
    </xf>
    <xf numFmtId="0" fontId="44" fillId="0" borderId="8" xfId="0" applyFont="1" applyBorder="1"/>
    <xf numFmtId="0" fontId="31" fillId="0" borderId="0" xfId="3" applyFont="1" applyAlignment="1">
      <alignment wrapText="1"/>
    </xf>
    <xf numFmtId="0" fontId="31" fillId="0" borderId="8" xfId="3" applyFont="1" applyBorder="1" applyAlignment="1">
      <alignment horizontal="center" vertical="center"/>
    </xf>
    <xf numFmtId="0" fontId="45" fillId="0" borderId="1" xfId="3" applyFont="1" applyBorder="1" applyAlignment="1">
      <alignment wrapText="1"/>
    </xf>
    <xf numFmtId="0" fontId="31" fillId="0" borderId="1" xfId="3" applyFont="1" applyBorder="1" applyAlignment="1">
      <alignment wrapText="1"/>
    </xf>
    <xf numFmtId="1" fontId="40" fillId="0" borderId="9" xfId="0" applyNumberFormat="1" applyFont="1" applyBorder="1" applyAlignment="1">
      <alignment horizontal="center"/>
    </xf>
    <xf numFmtId="1" fontId="41" fillId="0" borderId="23" xfId="0" applyNumberFormat="1" applyFont="1" applyBorder="1" applyAlignment="1">
      <alignment horizontal="center"/>
    </xf>
    <xf numFmtId="1" fontId="40" fillId="0" borderId="23" xfId="0" applyNumberFormat="1" applyFont="1" applyBorder="1" applyAlignment="1">
      <alignment horizontal="center"/>
    </xf>
    <xf numFmtId="0" fontId="24" fillId="0" borderId="1" xfId="0" applyFont="1" applyBorder="1" applyAlignment="1">
      <alignment wrapText="1"/>
    </xf>
    <xf numFmtId="0" fontId="24" fillId="0" borderId="4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24" fillId="0" borderId="8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31" fillId="0" borderId="8" xfId="3" applyFont="1" applyBorder="1" applyAlignment="1">
      <alignment wrapText="1"/>
    </xf>
    <xf numFmtId="0" fontId="27" fillId="0" borderId="8" xfId="0" applyFont="1" applyBorder="1" applyAlignment="1">
      <alignment wrapText="1"/>
    </xf>
    <xf numFmtId="0" fontId="38" fillId="0" borderId="10" xfId="0" applyFont="1" applyBorder="1" applyAlignment="1">
      <alignment horizontal="center"/>
    </xf>
    <xf numFmtId="0" fontId="46" fillId="0" borderId="10" xfId="0" applyFont="1" applyBorder="1" applyAlignment="1">
      <alignment horizontal="left"/>
    </xf>
    <xf numFmtId="49" fontId="34" fillId="0" borderId="1" xfId="0" applyNumberFormat="1" applyFont="1" applyBorder="1" applyAlignment="1">
      <alignment vertical="center" wrapText="1"/>
    </xf>
    <xf numFmtId="0" fontId="47" fillId="0" borderId="0" xfId="0" applyFont="1"/>
    <xf numFmtId="49" fontId="48" fillId="6" borderId="1" xfId="0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47" fillId="0" borderId="1" xfId="0" applyFont="1" applyBorder="1"/>
    <xf numFmtId="49" fontId="47" fillId="0" borderId="1" xfId="0" applyNumberFormat="1" applyFont="1" applyBorder="1" applyAlignment="1">
      <alignment horizontal="center"/>
    </xf>
    <xf numFmtId="0" fontId="29" fillId="6" borderId="0" xfId="0" applyFont="1" applyFill="1" applyAlignment="1">
      <alignment horizontal="center" vertical="center" wrapText="1"/>
    </xf>
    <xf numFmtId="0" fontId="49" fillId="0" borderId="8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1" fontId="51" fillId="21" borderId="0" xfId="12" applyNumberFormat="1" applyFont="1" applyFill="1"/>
    <xf numFmtId="3" fontId="24" fillId="0" borderId="0" xfId="10" applyNumberFormat="1" applyFont="1" applyAlignment="1">
      <alignment horizontal="right"/>
    </xf>
    <xf numFmtId="168" fontId="34" fillId="0" borderId="0" xfId="11" applyNumberFormat="1" applyFont="1" applyAlignment="1">
      <alignment horizontal="right"/>
    </xf>
    <xf numFmtId="0" fontId="52" fillId="0" borderId="0" xfId="11" applyFont="1"/>
    <xf numFmtId="0" fontId="51" fillId="18" borderId="0" xfId="12" applyFont="1" applyFill="1"/>
    <xf numFmtId="0" fontId="24" fillId="0" borderId="0" xfId="11" applyFont="1" applyAlignment="1">
      <alignment vertical="center"/>
    </xf>
    <xf numFmtId="0" fontId="53" fillId="0" borderId="0" xfId="11" applyFont="1"/>
    <xf numFmtId="0" fontId="51" fillId="21" borderId="0" xfId="12" applyFont="1" applyFill="1"/>
    <xf numFmtId="0" fontId="34" fillId="0" borderId="0" xfId="11" applyFont="1" applyAlignment="1">
      <alignment horizontal="left"/>
    </xf>
    <xf numFmtId="0" fontId="24" fillId="0" borderId="1" xfId="0" applyFont="1" applyBorder="1" applyAlignment="1">
      <alignment horizontal="left" vertical="top" wrapText="1"/>
    </xf>
    <xf numFmtId="168" fontId="54" fillId="0" borderId="0" xfId="10" applyNumberFormat="1" applyFont="1" applyAlignment="1">
      <alignment horizontal="center" vertical="center"/>
    </xf>
    <xf numFmtId="0" fontId="55" fillId="21" borderId="0" xfId="12" applyFont="1" applyFill="1"/>
    <xf numFmtId="0" fontId="56" fillId="0" borderId="0" xfId="11" applyFont="1" applyAlignment="1">
      <alignment horizontal="left"/>
    </xf>
    <xf numFmtId="168" fontId="53" fillId="0" borderId="0" xfId="10" applyNumberFormat="1" applyFont="1" applyAlignment="1">
      <alignment horizontal="center"/>
    </xf>
    <xf numFmtId="168" fontId="51" fillId="22" borderId="0" xfId="11" applyNumberFormat="1" applyFont="1" applyFill="1" applyAlignment="1">
      <alignment horizontal="right"/>
    </xf>
    <xf numFmtId="175" fontId="24" fillId="0" borderId="1" xfId="0" applyNumberFormat="1" applyFont="1" applyBorder="1"/>
    <xf numFmtId="0" fontId="57" fillId="0" borderId="0" xfId="11" applyFont="1" applyAlignment="1">
      <alignment horizontal="right"/>
    </xf>
    <xf numFmtId="168" fontId="51" fillId="18" borderId="0" xfId="11" applyNumberFormat="1" applyFont="1" applyFill="1" applyAlignment="1">
      <alignment horizontal="right"/>
    </xf>
    <xf numFmtId="3" fontId="24" fillId="0" borderId="0" xfId="10" applyNumberFormat="1" applyFont="1" applyAlignment="1">
      <alignment horizontal="right" vertical="center"/>
    </xf>
    <xf numFmtId="168" fontId="27" fillId="0" borderId="0" xfId="10" applyNumberFormat="1" applyFont="1" applyAlignment="1">
      <alignment horizontal="right" vertical="center" indent="2"/>
    </xf>
    <xf numFmtId="168" fontId="24" fillId="0" borderId="0" xfId="10" applyNumberFormat="1" applyFont="1" applyAlignment="1">
      <alignment horizontal="right" vertical="center"/>
    </xf>
    <xf numFmtId="0" fontId="52" fillId="0" borderId="0" xfId="11" applyFont="1" applyAlignment="1">
      <alignment horizontal="right"/>
    </xf>
    <xf numFmtId="175" fontId="34" fillId="0" borderId="0" xfId="9" applyNumberFormat="1" applyFont="1" applyAlignment="1">
      <alignment horizontal="right"/>
    </xf>
    <xf numFmtId="0" fontId="44" fillId="0" borderId="0" xfId="0" applyFont="1"/>
    <xf numFmtId="0" fontId="31" fillId="0" borderId="1" xfId="3" applyFont="1" applyBorder="1" applyAlignment="1">
      <alignment horizontal="center" vertical="center"/>
    </xf>
    <xf numFmtId="0" fontId="58" fillId="0" borderId="0" xfId="11" applyFont="1" applyAlignment="1">
      <alignment horizontal="left"/>
    </xf>
    <xf numFmtId="165" fontId="51" fillId="7" borderId="1" xfId="0" applyNumberFormat="1" applyFont="1" applyFill="1" applyBorder="1" applyAlignment="1">
      <alignment vertical="center"/>
    </xf>
    <xf numFmtId="165" fontId="34" fillId="0" borderId="8" xfId="0" applyNumberFormat="1" applyFont="1" applyBorder="1" applyAlignment="1">
      <alignment vertical="center"/>
    </xf>
    <xf numFmtId="165" fontId="34" fillId="0" borderId="1" xfId="0" applyNumberFormat="1" applyFont="1" applyBorder="1" applyAlignment="1">
      <alignment vertical="center"/>
    </xf>
    <xf numFmtId="165" fontId="24" fillId="0" borderId="1" xfId="0" applyNumberFormat="1" applyFont="1" applyBorder="1"/>
    <xf numFmtId="165" fontId="34" fillId="10" borderId="1" xfId="0" applyNumberFormat="1" applyFont="1" applyFill="1" applyBorder="1" applyAlignment="1">
      <alignment vertical="center"/>
    </xf>
    <xf numFmtId="165" fontId="49" fillId="0" borderId="1" xfId="0" applyNumberFormat="1" applyFont="1" applyBorder="1" applyAlignment="1">
      <alignment vertical="center"/>
    </xf>
    <xf numFmtId="165" fontId="24" fillId="0" borderId="0" xfId="0" applyNumberFormat="1" applyFont="1" applyAlignment="1">
      <alignment horizontal="right" vertical="center"/>
    </xf>
    <xf numFmtId="1" fontId="29" fillId="6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/>
    <xf numFmtId="0" fontId="24" fillId="0" borderId="9" xfId="0" applyFont="1" applyBorder="1"/>
    <xf numFmtId="0" fontId="27" fillId="0" borderId="0" xfId="0" applyFont="1" applyAlignment="1">
      <alignment wrapText="1"/>
    </xf>
    <xf numFmtId="0" fontId="49" fillId="0" borderId="1" xfId="0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4" fillId="0" borderId="1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 vertical="center"/>
    </xf>
    <xf numFmtId="165" fontId="27" fillId="0" borderId="0" xfId="0" applyNumberFormat="1" applyFont="1"/>
    <xf numFmtId="165" fontId="60" fillId="0" borderId="1" xfId="0" applyNumberFormat="1" applyFont="1" applyBorder="1" applyAlignment="1">
      <alignment horizontal="center" vertical="center"/>
    </xf>
    <xf numFmtId="165" fontId="27" fillId="0" borderId="1" xfId="0" applyNumberFormat="1" applyFont="1" applyBorder="1"/>
    <xf numFmtId="0" fontId="61" fillId="0" borderId="0" xfId="0" applyFont="1"/>
    <xf numFmtId="165" fontId="34" fillId="0" borderId="6" xfId="0" applyNumberFormat="1" applyFont="1" applyBorder="1" applyAlignment="1">
      <alignment vertical="center"/>
    </xf>
    <xf numFmtId="49" fontId="29" fillId="0" borderId="1" xfId="0" applyNumberFormat="1" applyFont="1" applyBorder="1" applyAlignment="1">
      <alignment horizontal="center" vertical="center"/>
    </xf>
    <xf numFmtId="49" fontId="62" fillId="0" borderId="1" xfId="0" applyNumberFormat="1" applyFont="1" applyBorder="1" applyAlignment="1">
      <alignment horizontal="left" vertical="center"/>
    </xf>
    <xf numFmtId="171" fontId="63" fillId="0" borderId="1" xfId="0" applyNumberFormat="1" applyFont="1" applyBorder="1" applyAlignment="1">
      <alignment horizontal="center" vertical="center"/>
    </xf>
    <xf numFmtId="165" fontId="61" fillId="0" borderId="6" xfId="0" applyNumberFormat="1" applyFont="1" applyBorder="1" applyAlignment="1">
      <alignment vertical="center"/>
    </xf>
    <xf numFmtId="165" fontId="64" fillId="7" borderId="1" xfId="0" applyNumberFormat="1" applyFont="1" applyFill="1" applyBorder="1" applyAlignment="1">
      <alignment vertical="center"/>
    </xf>
    <xf numFmtId="49" fontId="65" fillId="0" borderId="1" xfId="0" applyNumberFormat="1" applyFont="1" applyBorder="1" applyAlignment="1">
      <alignment horizontal="center" vertical="center"/>
    </xf>
    <xf numFmtId="49" fontId="29" fillId="6" borderId="1" xfId="0" applyNumberFormat="1" applyFont="1" applyFill="1" applyBorder="1" applyAlignment="1">
      <alignment horizontal="left" vertical="center"/>
    </xf>
    <xf numFmtId="0" fontId="66" fillId="0" borderId="1" xfId="0" applyFont="1" applyBorder="1" applyAlignment="1">
      <alignment horizontal="center"/>
    </xf>
    <xf numFmtId="49" fontId="60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left" vertical="center"/>
    </xf>
    <xf numFmtId="0" fontId="31" fillId="0" borderId="1" xfId="3" applyNumberFormat="1" applyFont="1" applyBorder="1" applyAlignment="1">
      <alignment horizontal="center" vertical="center"/>
    </xf>
    <xf numFmtId="0" fontId="61" fillId="0" borderId="1" xfId="0" applyFont="1" applyBorder="1"/>
    <xf numFmtId="0" fontId="67" fillId="0" borderId="1" xfId="3" applyFont="1" applyBorder="1" applyAlignment="1">
      <alignment horizontal="center" vertical="center"/>
    </xf>
    <xf numFmtId="1" fontId="29" fillId="0" borderId="0" xfId="0" applyNumberFormat="1" applyFont="1" applyAlignment="1">
      <alignment horizontal="center" wrapText="1"/>
    </xf>
    <xf numFmtId="0" fontId="51" fillId="0" borderId="1" xfId="0" applyFont="1" applyBorder="1" applyAlignment="1">
      <alignment vertical="center" wrapText="1"/>
    </xf>
    <xf numFmtId="0" fontId="63" fillId="0" borderId="1" xfId="0" applyFont="1" applyBorder="1" applyAlignment="1">
      <alignment horizontal="left" vertical="top" wrapText="1"/>
    </xf>
    <xf numFmtId="0" fontId="61" fillId="0" borderId="1" xfId="0" applyFont="1" applyBorder="1" applyAlignment="1">
      <alignment vertical="center" wrapText="1"/>
    </xf>
    <xf numFmtId="0" fontId="68" fillId="0" borderId="1" xfId="0" applyFont="1" applyBorder="1" applyAlignment="1">
      <alignment vertical="center" wrapText="1"/>
    </xf>
    <xf numFmtId="0" fontId="61" fillId="0" borderId="1" xfId="0" applyFont="1" applyBorder="1" applyAlignment="1">
      <alignment horizontal="left" vertical="top" wrapText="1"/>
    </xf>
    <xf numFmtId="0" fontId="69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70" fillId="0" borderId="1" xfId="0" applyFont="1" applyBorder="1"/>
    <xf numFmtId="0" fontId="61" fillId="0" borderId="1" xfId="0" applyFont="1" applyBorder="1" applyAlignment="1">
      <alignment horizontal="center"/>
    </xf>
    <xf numFmtId="165" fontId="71" fillId="7" borderId="1" xfId="0" applyNumberFormat="1" applyFont="1" applyFill="1" applyBorder="1" applyAlignment="1">
      <alignment vertical="center"/>
    </xf>
    <xf numFmtId="172" fontId="27" fillId="0" borderId="1" xfId="0" applyNumberFormat="1" applyFont="1" applyBorder="1"/>
    <xf numFmtId="10" fontId="51" fillId="0" borderId="1" xfId="0" applyNumberFormat="1" applyFont="1" applyBorder="1"/>
    <xf numFmtId="2" fontId="51" fillId="0" borderId="1" xfId="0" applyNumberFormat="1" applyFont="1" applyBorder="1" applyAlignment="1">
      <alignment vertical="center"/>
    </xf>
    <xf numFmtId="10" fontId="34" fillId="0" borderId="1" xfId="0" applyNumberFormat="1" applyFont="1" applyBorder="1" applyAlignment="1">
      <alignment vertical="center"/>
    </xf>
    <xf numFmtId="165" fontId="68" fillId="0" borderId="6" xfId="0" applyNumberFormat="1" applyFont="1" applyBorder="1" applyAlignment="1">
      <alignment vertical="center"/>
    </xf>
    <xf numFmtId="3" fontId="72" fillId="20" borderId="17" xfId="8" applyNumberFormat="1" applyFont="1" applyFill="1" applyBorder="1" applyAlignment="1">
      <alignment horizontal="center" vertical="center"/>
    </xf>
    <xf numFmtId="176" fontId="72" fillId="20" borderId="17" xfId="8" applyNumberFormat="1" applyFont="1" applyFill="1" applyBorder="1" applyAlignment="1">
      <alignment horizontal="center" vertical="center"/>
    </xf>
    <xf numFmtId="0" fontId="24" fillId="0" borderId="0" xfId="8" applyFont="1"/>
    <xf numFmtId="1" fontId="73" fillId="0" borderId="19" xfId="8" applyNumberFormat="1" applyFont="1" applyBorder="1" applyAlignment="1">
      <alignment horizontal="center" vertical="center" wrapText="1"/>
    </xf>
    <xf numFmtId="3" fontId="72" fillId="0" borderId="15" xfId="0" applyNumberFormat="1" applyFont="1" applyBorder="1" applyAlignment="1">
      <alignment horizontal="right" vertical="center" wrapText="1"/>
    </xf>
    <xf numFmtId="0" fontId="72" fillId="0" borderId="17" xfId="8" applyFont="1" applyBorder="1" applyAlignment="1">
      <alignment vertical="center"/>
    </xf>
    <xf numFmtId="3" fontId="72" fillId="0" borderId="17" xfId="8" applyNumberFormat="1" applyFont="1" applyBorder="1" applyAlignment="1">
      <alignment horizontal="center" vertical="center"/>
    </xf>
    <xf numFmtId="3" fontId="74" fillId="0" borderId="17" xfId="8" applyNumberFormat="1" applyFont="1" applyBorder="1" applyAlignment="1">
      <alignment horizontal="center" vertical="center"/>
    </xf>
    <xf numFmtId="1" fontId="75" fillId="0" borderId="19" xfId="8" applyNumberFormat="1" applyFont="1" applyBorder="1" applyAlignment="1">
      <alignment horizontal="center" vertical="center" wrapText="1"/>
    </xf>
    <xf numFmtId="0" fontId="76" fillId="0" borderId="17" xfId="8" applyFont="1" applyBorder="1" applyAlignment="1">
      <alignment horizontal="center" vertical="center"/>
    </xf>
    <xf numFmtId="3" fontId="32" fillId="0" borderId="22" xfId="8" applyNumberFormat="1" applyFont="1" applyBorder="1" applyAlignment="1">
      <alignment horizontal="right" vertical="center" wrapText="1"/>
    </xf>
    <xf numFmtId="0" fontId="77" fillId="0" borderId="0" xfId="8" applyFont="1"/>
    <xf numFmtId="0" fontId="32" fillId="0" borderId="0" xfId="8" applyFont="1" applyAlignment="1">
      <alignment horizontal="right" vertical="center" wrapText="1"/>
    </xf>
    <xf numFmtId="1" fontId="73" fillId="0" borderId="1" xfId="8" applyNumberFormat="1" applyFont="1" applyBorder="1" applyAlignment="1">
      <alignment horizontal="center" vertical="center" wrapText="1"/>
    </xf>
    <xf numFmtId="0" fontId="32" fillId="0" borderId="1" xfId="8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29" fillId="0" borderId="0" xfId="8" applyFont="1" applyAlignment="1">
      <alignment horizontal="center"/>
    </xf>
    <xf numFmtId="0" fontId="74" fillId="0" borderId="16" xfId="8" applyFont="1" applyBorder="1" applyAlignment="1">
      <alignment horizontal="center" vertical="center" wrapText="1"/>
    </xf>
    <xf numFmtId="0" fontId="78" fillId="0" borderId="0" xfId="8" applyFont="1"/>
    <xf numFmtId="0" fontId="44" fillId="0" borderId="0" xfId="8" applyFont="1"/>
    <xf numFmtId="0" fontId="74" fillId="0" borderId="16" xfId="8" applyFont="1" applyBorder="1" applyAlignment="1">
      <alignment horizontal="center" vertical="center"/>
    </xf>
    <xf numFmtId="0" fontId="75" fillId="0" borderId="16" xfId="8" applyFont="1" applyBorder="1" applyAlignment="1">
      <alignment horizontal="center" vertical="center" wrapText="1"/>
    </xf>
    <xf numFmtId="0" fontId="73" fillId="0" borderId="16" xfId="8" applyFont="1" applyBorder="1" applyAlignment="1">
      <alignment vertical="center" wrapText="1"/>
    </xf>
    <xf numFmtId="3" fontId="73" fillId="0" borderId="17" xfId="8" applyNumberFormat="1" applyFont="1" applyBorder="1" applyAlignment="1">
      <alignment vertical="center" wrapText="1"/>
    </xf>
    <xf numFmtId="0" fontId="73" fillId="0" borderId="17" xfId="8" applyFont="1" applyBorder="1" applyAlignment="1">
      <alignment vertical="center" wrapText="1"/>
    </xf>
    <xf numFmtId="0" fontId="73" fillId="0" borderId="16" xfId="8" applyFont="1" applyBorder="1" applyAlignment="1">
      <alignment horizontal="center" vertical="center" wrapText="1"/>
    </xf>
    <xf numFmtId="3" fontId="74" fillId="0" borderId="1" xfId="0" applyNumberFormat="1" applyFont="1" applyBorder="1" applyAlignment="1">
      <alignment horizontal="center" vertical="center" wrapText="1"/>
    </xf>
    <xf numFmtId="0" fontId="24" fillId="3" borderId="0" xfId="8" applyFont="1" applyFill="1"/>
    <xf numFmtId="0" fontId="77" fillId="3" borderId="0" xfId="8" applyFont="1" applyFill="1"/>
    <xf numFmtId="0" fontId="24" fillId="0" borderId="0" xfId="8" applyFont="1" applyAlignment="1">
      <alignment horizontal="left" vertical="center"/>
    </xf>
    <xf numFmtId="0" fontId="24" fillId="0" borderId="0" xfId="8" applyFont="1" applyAlignment="1">
      <alignment horizontal="center" vertical="center"/>
    </xf>
    <xf numFmtId="0" fontId="31" fillId="0" borderId="0" xfId="3" applyFont="1" applyAlignment="1">
      <alignment horizontal="center" vertical="center"/>
    </xf>
    <xf numFmtId="49" fontId="30" fillId="0" borderId="0" xfId="8" applyNumberFormat="1" applyFont="1" applyAlignment="1">
      <alignment horizontal="center" vertical="center" wrapText="1"/>
    </xf>
    <xf numFmtId="0" fontId="73" fillId="0" borderId="15" xfId="8" applyFont="1" applyBorder="1" applyAlignment="1">
      <alignment horizontal="center" vertical="center"/>
    </xf>
    <xf numFmtId="0" fontId="27" fillId="0" borderId="0" xfId="8" applyFont="1"/>
    <xf numFmtId="0" fontId="72" fillId="0" borderId="0" xfId="8" applyFont="1" applyAlignment="1">
      <alignment vertical="center" wrapText="1"/>
    </xf>
    <xf numFmtId="0" fontId="27" fillId="0" borderId="0" xfId="8" applyFont="1" applyAlignment="1">
      <alignment horizontal="left" vertical="center"/>
    </xf>
    <xf numFmtId="0" fontId="74" fillId="0" borderId="16" xfId="8" applyFont="1" applyBorder="1" applyAlignment="1">
      <alignment vertical="center"/>
    </xf>
    <xf numFmtId="0" fontId="79" fillId="0" borderId="0" xfId="8" applyFont="1" applyAlignment="1">
      <alignment horizontal="left" vertical="center"/>
    </xf>
    <xf numFmtId="0" fontId="26" fillId="0" borderId="18" xfId="8" applyFont="1" applyBorder="1" applyAlignment="1">
      <alignment vertical="center" wrapText="1"/>
    </xf>
    <xf numFmtId="0" fontId="32" fillId="0" borderId="18" xfId="8" applyFont="1" applyBorder="1" applyAlignment="1">
      <alignment vertical="center" wrapText="1"/>
    </xf>
    <xf numFmtId="0" fontId="72" fillId="0" borderId="15" xfId="8" applyFont="1" applyBorder="1" applyAlignment="1">
      <alignment vertical="center"/>
    </xf>
    <xf numFmtId="0" fontId="74" fillId="0" borderId="18" xfId="8" applyFont="1" applyBorder="1" applyAlignment="1">
      <alignment vertical="center" wrapText="1"/>
    </xf>
    <xf numFmtId="0" fontId="72" fillId="0" borderId="18" xfId="8" applyFont="1" applyBorder="1" applyAlignment="1">
      <alignment vertical="center" wrapText="1"/>
    </xf>
    <xf numFmtId="0" fontId="75" fillId="0" borderId="16" xfId="8" applyFont="1" applyBorder="1" applyAlignment="1">
      <alignment vertical="center"/>
    </xf>
    <xf numFmtId="0" fontId="30" fillId="0" borderId="17" xfId="8" applyFont="1" applyBorder="1" applyAlignment="1">
      <alignment vertical="center"/>
    </xf>
    <xf numFmtId="0" fontId="75" fillId="0" borderId="17" xfId="8" applyFont="1" applyBorder="1" applyAlignment="1">
      <alignment vertical="center"/>
    </xf>
    <xf numFmtId="0" fontId="73" fillId="0" borderId="16" xfId="8" applyFont="1" applyBorder="1" applyAlignment="1">
      <alignment vertical="center"/>
    </xf>
    <xf numFmtId="0" fontId="76" fillId="0" borderId="17" xfId="8" applyFont="1" applyBorder="1" applyAlignment="1">
      <alignment vertical="center"/>
    </xf>
    <xf numFmtId="0" fontId="74" fillId="0" borderId="17" xfId="8" applyFont="1" applyBorder="1" applyAlignment="1">
      <alignment vertical="center"/>
    </xf>
    <xf numFmtId="0" fontId="26" fillId="0" borderId="20" xfId="8" applyFont="1" applyBorder="1" applyAlignment="1">
      <alignment horizontal="left" vertical="center" wrapText="1"/>
    </xf>
    <xf numFmtId="0" fontId="32" fillId="0" borderId="21" xfId="8" applyFont="1" applyBorder="1" applyAlignment="1">
      <alignment horizontal="left" vertical="center" wrapText="1"/>
    </xf>
    <xf numFmtId="0" fontId="24" fillId="0" borderId="15" xfId="8" applyFont="1" applyBorder="1"/>
    <xf numFmtId="0" fontId="32" fillId="0" borderId="0" xfId="8" applyFont="1" applyAlignment="1">
      <alignment vertical="center" wrapText="1"/>
    </xf>
    <xf numFmtId="0" fontId="24" fillId="0" borderId="0" xfId="8" applyFont="1" applyAlignment="1">
      <alignment vertical="center"/>
    </xf>
    <xf numFmtId="0" fontId="79" fillId="0" borderId="1" xfId="8" applyFont="1" applyBorder="1" applyAlignment="1">
      <alignment horizontal="left" vertical="center"/>
    </xf>
    <xf numFmtId="0" fontId="32" fillId="0" borderId="1" xfId="8" applyFont="1" applyBorder="1" applyAlignment="1">
      <alignment vertical="center" wrapText="1"/>
    </xf>
    <xf numFmtId="0" fontId="80" fillId="0" borderId="0" xfId="0" applyFont="1" applyAlignment="1">
      <alignment vertical="center"/>
    </xf>
    <xf numFmtId="3" fontId="72" fillId="0" borderId="0" xfId="8" applyNumberFormat="1" applyFont="1" applyAlignment="1">
      <alignment horizontal="center" vertical="center"/>
    </xf>
    <xf numFmtId="165" fontId="72" fillId="0" borderId="17" xfId="8" applyNumberFormat="1" applyFont="1" applyBorder="1" applyAlignment="1">
      <alignment horizontal="center" vertical="center"/>
    </xf>
    <xf numFmtId="176" fontId="72" fillId="0" borderId="17" xfId="8" applyNumberFormat="1" applyFont="1" applyBorder="1" applyAlignment="1">
      <alignment horizontal="center" vertical="center"/>
    </xf>
    <xf numFmtId="1" fontId="32" fillId="0" borderId="18" xfId="8" applyNumberFormat="1" applyFont="1" applyBorder="1" applyAlignment="1">
      <alignment horizontal="center" vertical="center" wrapText="1"/>
    </xf>
    <xf numFmtId="168" fontId="32" fillId="0" borderId="18" xfId="8" applyNumberFormat="1" applyFont="1" applyBorder="1" applyAlignment="1">
      <alignment horizontal="center" vertical="center" wrapText="1"/>
    </xf>
    <xf numFmtId="0" fontId="32" fillId="0" borderId="18" xfId="8" applyFont="1" applyBorder="1" applyAlignment="1">
      <alignment horizontal="center" vertical="center" wrapText="1"/>
    </xf>
    <xf numFmtId="3" fontId="72" fillId="0" borderId="17" xfId="8" applyNumberFormat="1" applyFont="1" applyBorder="1" applyAlignment="1">
      <alignment horizontal="center" vertical="center" wrapText="1"/>
    </xf>
    <xf numFmtId="9" fontId="72" fillId="20" borderId="17" xfId="8" applyNumberFormat="1" applyFont="1" applyFill="1" applyBorder="1" applyAlignment="1">
      <alignment horizontal="center" vertical="center"/>
    </xf>
    <xf numFmtId="0" fontId="24" fillId="7" borderId="0" xfId="0" applyFont="1" applyFill="1" applyAlignment="1">
      <alignment horizontal="left" vertical="center"/>
    </xf>
    <xf numFmtId="0" fontId="24" fillId="7" borderId="0" xfId="0" applyFont="1" applyFill="1"/>
    <xf numFmtId="0" fontId="44" fillId="7" borderId="0" xfId="0" applyFont="1" applyFill="1"/>
    <xf numFmtId="0" fontId="69" fillId="7" borderId="0" xfId="0" applyFont="1" applyFill="1"/>
    <xf numFmtId="0" fontId="40" fillId="6" borderId="0" xfId="0" applyFont="1" applyFill="1"/>
    <xf numFmtId="0" fontId="81" fillId="6" borderId="0" xfId="3" applyFont="1" applyFill="1" applyAlignment="1">
      <alignment horizontal="center"/>
    </xf>
    <xf numFmtId="165" fontId="34" fillId="0" borderId="1" xfId="0" applyNumberFormat="1" applyFont="1" applyBorder="1" applyAlignment="1">
      <alignment horizontal="center" vertical="center"/>
    </xf>
    <xf numFmtId="165" fontId="51" fillId="0" borderId="0" xfId="0" applyNumberFormat="1" applyFont="1" applyAlignment="1">
      <alignment vertical="center"/>
    </xf>
    <xf numFmtId="165" fontId="34" fillId="0" borderId="0" xfId="0" applyNumberFormat="1" applyFont="1" applyAlignment="1">
      <alignment vertical="center"/>
    </xf>
    <xf numFmtId="165" fontId="27" fillId="0" borderId="5" xfId="0" applyNumberFormat="1" applyFont="1" applyBorder="1"/>
    <xf numFmtId="9" fontId="24" fillId="0" borderId="3" xfId="0" applyNumberFormat="1" applyFont="1" applyBorder="1" applyAlignment="1">
      <alignment horizontal="center" vertical="center"/>
    </xf>
    <xf numFmtId="165" fontId="24" fillId="0" borderId="8" xfId="0" applyNumberFormat="1" applyFont="1" applyBorder="1"/>
    <xf numFmtId="165" fontId="24" fillId="0" borderId="0" xfId="0" applyNumberFormat="1" applyFont="1"/>
    <xf numFmtId="0" fontId="24" fillId="3" borderId="0" xfId="0" applyFont="1" applyFill="1" applyAlignment="1">
      <alignment textRotation="90"/>
    </xf>
    <xf numFmtId="165" fontId="34" fillId="0" borderId="0" xfId="0" applyNumberFormat="1" applyFont="1" applyAlignment="1">
      <alignment horizontal="center" vertical="center"/>
    </xf>
    <xf numFmtId="0" fontId="31" fillId="0" borderId="1" xfId="3" applyFont="1" applyBorder="1" applyAlignment="1">
      <alignment horizontal="center"/>
    </xf>
    <xf numFmtId="0" fontId="27" fillId="0" borderId="0" xfId="0" applyFont="1" applyAlignment="1">
      <alignment vertical="center" wrapText="1"/>
    </xf>
    <xf numFmtId="0" fontId="24" fillId="0" borderId="8" xfId="0" applyFont="1" applyBorder="1" applyAlignment="1">
      <alignment horizontal="left" vertical="center" wrapText="1" indent="1"/>
    </xf>
    <xf numFmtId="0" fontId="27" fillId="0" borderId="4" xfId="0" applyFont="1" applyBorder="1" applyAlignment="1">
      <alignment vertical="center" wrapText="1"/>
    </xf>
    <xf numFmtId="0" fontId="54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54" fillId="0" borderId="1" xfId="0" applyFont="1" applyBorder="1" applyAlignment="1">
      <alignment horizontal="center" vertical="center" wrapText="1"/>
    </xf>
    <xf numFmtId="0" fontId="24" fillId="0" borderId="8" xfId="0" applyFont="1" applyBorder="1" applyAlignment="1">
      <alignment vertical="center" wrapText="1"/>
    </xf>
    <xf numFmtId="0" fontId="31" fillId="0" borderId="0" xfId="3" applyFont="1"/>
    <xf numFmtId="0" fontId="82" fillId="0" borderId="1" xfId="0" applyFont="1" applyBorder="1"/>
    <xf numFmtId="0" fontId="82" fillId="0" borderId="0" xfId="0" applyFont="1"/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1" xfId="0" applyFont="1" applyBorder="1" applyAlignment="1">
      <alignment horizontal="center" vertical="center"/>
    </xf>
    <xf numFmtId="0" fontId="69" fillId="0" borderId="1" xfId="0" applyFont="1" applyBorder="1"/>
    <xf numFmtId="0" fontId="83" fillId="0" borderId="0" xfId="0" applyFont="1" applyAlignment="1">
      <alignment horizontal="center"/>
    </xf>
    <xf numFmtId="165" fontId="51" fillId="0" borderId="1" xfId="0" applyNumberFormat="1" applyFont="1" applyBorder="1" applyAlignment="1">
      <alignment horizontal="right" vertical="center"/>
    </xf>
    <xf numFmtId="9" fontId="27" fillId="0" borderId="3" xfId="0" applyNumberFormat="1" applyFont="1" applyBorder="1" applyAlignment="1">
      <alignment horizontal="center" vertical="center"/>
    </xf>
    <xf numFmtId="165" fontId="51" fillId="0" borderId="1" xfId="0" applyNumberFormat="1" applyFont="1" applyBorder="1" applyAlignment="1">
      <alignment vertical="center"/>
    </xf>
    <xf numFmtId="0" fontId="27" fillId="0" borderId="1" xfId="0" applyFont="1" applyBorder="1"/>
    <xf numFmtId="0" fontId="24" fillId="0" borderId="7" xfId="0" applyFont="1" applyBorder="1"/>
    <xf numFmtId="49" fontId="27" fillId="6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Border="1" applyAlignment="1">
      <alignment horizontal="right" vertical="center" wrapText="1"/>
    </xf>
    <xf numFmtId="165" fontId="34" fillId="0" borderId="4" xfId="0" applyNumberFormat="1" applyFont="1" applyBorder="1" applyAlignment="1">
      <alignment vertical="center"/>
    </xf>
    <xf numFmtId="0" fontId="29" fillId="6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6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84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4" fillId="5" borderId="1" xfId="0" applyFont="1" applyFill="1" applyBorder="1" applyAlignment="1">
      <alignment horizontal="left" vertical="top"/>
    </xf>
    <xf numFmtId="0" fontId="24" fillId="0" borderId="1" xfId="0" applyFont="1" applyBorder="1" applyAlignment="1">
      <alignment horizontal="left"/>
    </xf>
    <xf numFmtId="0" fontId="84" fillId="0" borderId="1" xfId="0" applyFont="1" applyBorder="1" applyAlignment="1">
      <alignment vertical="center"/>
    </xf>
    <xf numFmtId="0" fontId="24" fillId="5" borderId="4" xfId="0" applyFont="1" applyFill="1" applyBorder="1" applyAlignment="1">
      <alignment horizontal="left" vertical="top"/>
    </xf>
    <xf numFmtId="0" fontId="59" fillId="0" borderId="0" xfId="0" applyFont="1"/>
    <xf numFmtId="49" fontId="83" fillId="6" borderId="1" xfId="0" applyNumberFormat="1" applyFont="1" applyFill="1" applyBorder="1" applyAlignment="1">
      <alignment horizontal="center" vertical="center"/>
    </xf>
    <xf numFmtId="0" fontId="69" fillId="0" borderId="4" xfId="0" applyFont="1" applyBorder="1" applyAlignment="1">
      <alignment horizontal="center"/>
    </xf>
    <xf numFmtId="165" fontId="51" fillId="0" borderId="6" xfId="0" applyNumberFormat="1" applyFont="1" applyBorder="1" applyAlignment="1">
      <alignment vertical="center"/>
    </xf>
    <xf numFmtId="49" fontId="27" fillId="6" borderId="6" xfId="0" applyNumberFormat="1" applyFont="1" applyFill="1" applyBorder="1" applyAlignment="1">
      <alignment horizontal="center" vertical="center"/>
    </xf>
    <xf numFmtId="165" fontId="24" fillId="0" borderId="6" xfId="0" applyNumberFormat="1" applyFont="1" applyBorder="1" applyAlignment="1">
      <alignment horizontal="right" vertical="center"/>
    </xf>
    <xf numFmtId="3" fontId="27" fillId="0" borderId="6" xfId="0" applyNumberFormat="1" applyFont="1" applyBorder="1" applyAlignment="1">
      <alignment horizontal="right" vertical="center" wrapText="1"/>
    </xf>
    <xf numFmtId="0" fontId="30" fillId="0" borderId="0" xfId="0" applyFont="1"/>
    <xf numFmtId="165" fontId="39" fillId="0" borderId="1" xfId="0" applyNumberFormat="1" applyFont="1" applyBorder="1" applyAlignment="1">
      <alignment vertical="center"/>
    </xf>
    <xf numFmtId="165" fontId="71" fillId="7" borderId="4" xfId="0" applyNumberFormat="1" applyFont="1" applyFill="1" applyBorder="1" applyAlignment="1">
      <alignment vertical="center"/>
    </xf>
    <xf numFmtId="165" fontId="39" fillId="0" borderId="3" xfId="0" applyNumberFormat="1" applyFont="1" applyBorder="1" applyAlignment="1">
      <alignment vertical="center"/>
    </xf>
    <xf numFmtId="0" fontId="27" fillId="3" borderId="1" xfId="0" applyFont="1" applyFill="1" applyBorder="1" applyAlignment="1">
      <alignment horizontal="center"/>
    </xf>
    <xf numFmtId="39" fontId="51" fillId="3" borderId="4" xfId="2" applyNumberFormat="1" applyFont="1" applyFill="1" applyBorder="1" applyAlignment="1" applyProtection="1">
      <alignment horizontal="left" vertical="top" wrapText="1"/>
    </xf>
    <xf numFmtId="0" fontId="30" fillId="0" borderId="1" xfId="0" applyFont="1" applyBorder="1"/>
    <xf numFmtId="39" fontId="51" fillId="3" borderId="1" xfId="2" applyNumberFormat="1" applyFont="1" applyFill="1" applyBorder="1" applyAlignment="1" applyProtection="1">
      <alignment horizontal="left" vertical="top" wrapText="1"/>
    </xf>
    <xf numFmtId="39" fontId="34" fillId="2" borderId="1" xfId="2" applyNumberFormat="1" applyFont="1" applyFill="1" applyBorder="1" applyAlignment="1" applyProtection="1">
      <alignment horizontal="left" vertical="top" wrapText="1"/>
    </xf>
    <xf numFmtId="0" fontId="32" fillId="2" borderId="3" xfId="0" applyFont="1" applyFill="1" applyBorder="1" applyAlignment="1">
      <alignment wrapText="1"/>
    </xf>
    <xf numFmtId="0" fontId="30" fillId="0" borderId="1" xfId="0" applyFont="1" applyBorder="1" applyAlignment="1">
      <alignment wrapText="1"/>
    </xf>
    <xf numFmtId="0" fontId="47" fillId="0" borderId="0" xfId="0" applyFont="1" applyAlignment="1">
      <alignment horizontal="center"/>
    </xf>
    <xf numFmtId="0" fontId="47" fillId="2" borderId="3" xfId="0" applyFont="1" applyFill="1" applyBorder="1" applyAlignment="1">
      <alignment horizontal="center"/>
    </xf>
    <xf numFmtId="0" fontId="47" fillId="0" borderId="3" xfId="0" applyFont="1" applyBorder="1" applyAlignment="1">
      <alignment horizontal="center"/>
    </xf>
    <xf numFmtId="165" fontId="82" fillId="0" borderId="8" xfId="0" applyNumberFormat="1" applyFont="1" applyBorder="1" applyAlignment="1">
      <alignment horizontal="center"/>
    </xf>
    <xf numFmtId="0" fontId="27" fillId="3" borderId="1" xfId="0" applyFont="1" applyFill="1" applyBorder="1" applyAlignment="1">
      <alignment horizontal="left" vertical="top" wrapText="1"/>
    </xf>
    <xf numFmtId="0" fontId="31" fillId="0" borderId="1" xfId="3" applyFont="1" applyBorder="1" applyAlignment="1"/>
    <xf numFmtId="0" fontId="59" fillId="0" borderId="1" xfId="0" applyFont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47" fillId="20" borderId="0" xfId="0" applyFont="1" applyFill="1"/>
    <xf numFmtId="0" fontId="24" fillId="19" borderId="1" xfId="0" applyFont="1" applyFill="1" applyBorder="1" applyAlignment="1">
      <alignment horizontal="right"/>
    </xf>
    <xf numFmtId="0" fontId="24" fillId="20" borderId="0" xfId="0" applyFont="1" applyFill="1"/>
    <xf numFmtId="0" fontId="49" fillId="0" borderId="0" xfId="0" applyFont="1"/>
    <xf numFmtId="0" fontId="54" fillId="0" borderId="0" xfId="0" applyFont="1"/>
    <xf numFmtId="0" fontId="24" fillId="20" borderId="0" xfId="0" applyFont="1" applyFill="1" applyAlignment="1">
      <alignment horizontal="right"/>
    </xf>
    <xf numFmtId="0" fontId="24" fillId="20" borderId="1" xfId="0" applyFont="1" applyFill="1" applyBorder="1"/>
    <xf numFmtId="0" fontId="24" fillId="19" borderId="0" xfId="0" applyFont="1" applyFill="1"/>
    <xf numFmtId="0" fontId="24" fillId="16" borderId="0" xfId="0" applyFont="1" applyFill="1" applyAlignment="1">
      <alignment horizontal="right" vertical="center"/>
    </xf>
    <xf numFmtId="165" fontId="34" fillId="0" borderId="7" xfId="0" applyNumberFormat="1" applyFont="1" applyBorder="1" applyAlignment="1">
      <alignment vertical="center"/>
    </xf>
    <xf numFmtId="0" fontId="37" fillId="11" borderId="0" xfId="0" applyFont="1" applyFill="1"/>
    <xf numFmtId="0" fontId="85" fillId="0" borderId="0" xfId="0" applyFont="1" applyAlignment="1">
      <alignment horizontal="center"/>
    </xf>
    <xf numFmtId="171" fontId="86" fillId="0" borderId="1" xfId="0" applyNumberFormat="1" applyFont="1" applyBorder="1" applyAlignment="1">
      <alignment horizontal="center" vertical="center"/>
    </xf>
    <xf numFmtId="9" fontId="34" fillId="0" borderId="1" xfId="0" applyNumberFormat="1" applyFont="1" applyBorder="1" applyAlignment="1">
      <alignment vertical="center"/>
    </xf>
    <xf numFmtId="165" fontId="34" fillId="3" borderId="1" xfId="0" applyNumberFormat="1" applyFont="1" applyFill="1" applyBorder="1" applyAlignment="1">
      <alignment vertical="center"/>
    </xf>
    <xf numFmtId="165" fontId="39" fillId="11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24" fillId="20" borderId="0" xfId="0" applyFont="1" applyFill="1" applyAlignment="1">
      <alignment horizontal="right" vertical="center"/>
    </xf>
    <xf numFmtId="0" fontId="24" fillId="20" borderId="1" xfId="0" applyFont="1" applyFill="1" applyBorder="1" applyAlignment="1">
      <alignment horizontal="right"/>
    </xf>
    <xf numFmtId="165" fontId="27" fillId="19" borderId="1" xfId="0" applyNumberFormat="1" applyFont="1" applyFill="1" applyBorder="1"/>
    <xf numFmtId="9" fontId="24" fillId="20" borderId="1" xfId="0" applyNumberFormat="1" applyFont="1" applyFill="1" applyBorder="1"/>
    <xf numFmtId="9" fontId="24" fillId="20" borderId="8" xfId="0" applyNumberFormat="1" applyFont="1" applyFill="1" applyBorder="1"/>
    <xf numFmtId="9" fontId="27" fillId="0" borderId="28" xfId="0" applyNumberFormat="1" applyFont="1" applyBorder="1"/>
    <xf numFmtId="9" fontId="24" fillId="20" borderId="3" xfId="0" applyNumberFormat="1" applyFont="1" applyFill="1" applyBorder="1"/>
    <xf numFmtId="9" fontId="27" fillId="19" borderId="1" xfId="0" applyNumberFormat="1" applyFont="1" applyFill="1" applyBorder="1"/>
    <xf numFmtId="0" fontId="24" fillId="16" borderId="0" xfId="0" applyFont="1" applyFill="1"/>
    <xf numFmtId="9" fontId="24" fillId="16" borderId="1" xfId="0" applyNumberFormat="1" applyFont="1" applyFill="1" applyBorder="1"/>
    <xf numFmtId="165" fontId="24" fillId="0" borderId="29" xfId="0" applyNumberFormat="1" applyFont="1" applyBorder="1"/>
    <xf numFmtId="165" fontId="24" fillId="0" borderId="3" xfId="0" applyNumberFormat="1" applyFont="1" applyBorder="1"/>
    <xf numFmtId="9" fontId="24" fillId="16" borderId="9" xfId="0" applyNumberFormat="1" applyFont="1" applyFill="1" applyBorder="1"/>
    <xf numFmtId="165" fontId="24" fillId="0" borderId="9" xfId="0" applyNumberFormat="1" applyFont="1" applyBorder="1"/>
    <xf numFmtId="165" fontId="24" fillId="0" borderId="23" xfId="0" applyNumberFormat="1" applyFont="1" applyBorder="1"/>
    <xf numFmtId="165" fontId="24" fillId="0" borderId="31" xfId="0" applyNumberFormat="1" applyFont="1" applyBorder="1"/>
    <xf numFmtId="165" fontId="24" fillId="0" borderId="24" xfId="0" applyNumberFormat="1" applyFont="1" applyBorder="1"/>
    <xf numFmtId="9" fontId="27" fillId="0" borderId="33" xfId="0" applyNumberFormat="1" applyFont="1" applyBorder="1"/>
    <xf numFmtId="165" fontId="24" fillId="0" borderId="34" xfId="0" applyNumberFormat="1" applyFont="1" applyBorder="1"/>
    <xf numFmtId="165" fontId="24" fillId="0" borderId="35" xfId="0" applyNumberFormat="1" applyFont="1" applyBorder="1"/>
    <xf numFmtId="165" fontId="27" fillId="0" borderId="27" xfId="0" applyNumberFormat="1" applyFont="1" applyBorder="1"/>
    <xf numFmtId="165" fontId="24" fillId="0" borderId="36" xfId="0" applyNumberFormat="1" applyFont="1" applyBorder="1"/>
    <xf numFmtId="165" fontId="24" fillId="0" borderId="37" xfId="0" applyNumberFormat="1" applyFont="1" applyBorder="1"/>
    <xf numFmtId="9" fontId="24" fillId="16" borderId="6" xfId="0" applyNumberFormat="1" applyFont="1" applyFill="1" applyBorder="1"/>
    <xf numFmtId="165" fontId="24" fillId="0" borderId="6" xfId="0" applyNumberFormat="1" applyFont="1" applyBorder="1"/>
    <xf numFmtId="165" fontId="24" fillId="0" borderId="25" xfId="0" applyNumberFormat="1" applyFont="1" applyBorder="1"/>
    <xf numFmtId="165" fontId="24" fillId="0" borderId="32" xfId="0" applyNumberFormat="1" applyFont="1" applyBorder="1"/>
    <xf numFmtId="165" fontId="24" fillId="0" borderId="26" xfId="0" applyNumberFormat="1" applyFont="1" applyBorder="1"/>
    <xf numFmtId="165" fontId="24" fillId="0" borderId="1" xfId="0" applyNumberFormat="1" applyFont="1" applyBorder="1" applyAlignment="1">
      <alignment vertical="center"/>
    </xf>
    <xf numFmtId="165" fontId="24" fillId="0" borderId="8" xfId="0" applyNumberFormat="1" applyFont="1" applyBorder="1" applyAlignment="1">
      <alignment vertical="center"/>
    </xf>
    <xf numFmtId="165" fontId="24" fillId="0" borderId="29" xfId="0" applyNumberFormat="1" applyFont="1" applyBorder="1" applyAlignment="1">
      <alignment vertical="center"/>
    </xf>
    <xf numFmtId="165" fontId="24" fillId="0" borderId="3" xfId="0" applyNumberFormat="1" applyFont="1" applyBorder="1" applyAlignment="1">
      <alignment vertical="center"/>
    </xf>
    <xf numFmtId="165" fontId="24" fillId="0" borderId="30" xfId="0" applyNumberFormat="1" applyFont="1" applyBorder="1" applyAlignment="1">
      <alignment vertical="center"/>
    </xf>
    <xf numFmtId="49" fontId="30" fillId="3" borderId="0" xfId="0" applyNumberFormat="1" applyFont="1" applyFill="1" applyAlignment="1">
      <alignment horizontal="center" vertical="center" wrapText="1"/>
    </xf>
    <xf numFmtId="9" fontId="24" fillId="3" borderId="1" xfId="0" applyNumberFormat="1" applyFont="1" applyFill="1" applyBorder="1" applyAlignment="1">
      <alignment horizontal="center" vertical="center"/>
    </xf>
    <xf numFmtId="49" fontId="30" fillId="11" borderId="0" xfId="0" applyNumberFormat="1" applyFont="1" applyFill="1" applyAlignment="1">
      <alignment horizontal="center" vertical="center" wrapText="1"/>
    </xf>
    <xf numFmtId="9" fontId="24" fillId="11" borderId="1" xfId="0" applyNumberFormat="1" applyFont="1" applyFill="1" applyBorder="1" applyAlignment="1">
      <alignment horizontal="center" vertical="center"/>
    </xf>
    <xf numFmtId="165" fontId="86" fillId="0" borderId="0" xfId="0" applyNumberFormat="1" applyFont="1" applyAlignment="1">
      <alignment vertical="center"/>
    </xf>
    <xf numFmtId="165" fontId="86" fillId="0" borderId="0" xfId="0" applyNumberFormat="1" applyFont="1"/>
    <xf numFmtId="0" fontId="86" fillId="0" borderId="0" xfId="0" applyFont="1" applyAlignment="1">
      <alignment vertical="center"/>
    </xf>
    <xf numFmtId="9" fontId="24" fillId="0" borderId="3" xfId="0" applyNumberFormat="1" applyFont="1" applyBorder="1"/>
    <xf numFmtId="165" fontId="27" fillId="0" borderId="6" xfId="0" applyNumberFormat="1" applyFont="1" applyBorder="1"/>
    <xf numFmtId="165" fontId="27" fillId="0" borderId="25" xfId="0" applyNumberFormat="1" applyFont="1" applyBorder="1"/>
    <xf numFmtId="1" fontId="54" fillId="19" borderId="0" xfId="0" applyNumberFormat="1" applyFont="1" applyFill="1" applyAlignment="1">
      <alignment horizontal="left"/>
    </xf>
    <xf numFmtId="49" fontId="34" fillId="0" borderId="1" xfId="0" applyNumberFormat="1" applyFont="1" applyBorder="1" applyAlignment="1">
      <alignment vertical="center"/>
    </xf>
    <xf numFmtId="0" fontId="66" fillId="0" borderId="1" xfId="0" applyFont="1" applyBorder="1"/>
    <xf numFmtId="0" fontId="31" fillId="0" borderId="0" xfId="3" applyFont="1" applyAlignment="1">
      <alignment horizontal="center"/>
    </xf>
    <xf numFmtId="0" fontId="46" fillId="11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49" fillId="0" borderId="1" xfId="0" applyFont="1" applyBorder="1"/>
    <xf numFmtId="0" fontId="54" fillId="11" borderId="0" xfId="0" applyFont="1" applyFill="1"/>
    <xf numFmtId="1" fontId="54" fillId="19" borderId="0" xfId="0" applyNumberFormat="1" applyFont="1" applyFill="1" applyAlignment="1">
      <alignment horizontal="left" wrapText="1"/>
    </xf>
    <xf numFmtId="49" fontId="34" fillId="19" borderId="1" xfId="0" applyNumberFormat="1" applyFont="1" applyFill="1" applyBorder="1" applyAlignment="1">
      <alignment vertical="center" wrapText="1"/>
    </xf>
    <xf numFmtId="0" fontId="24" fillId="0" borderId="7" xfId="0" applyFont="1" applyBorder="1" applyAlignment="1">
      <alignment wrapText="1"/>
    </xf>
    <xf numFmtId="0" fontId="37" fillId="11" borderId="0" xfId="0" applyFont="1" applyFill="1" applyAlignment="1">
      <alignment wrapText="1"/>
    </xf>
    <xf numFmtId="0" fontId="86" fillId="0" borderId="1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center" wrapText="1"/>
    </xf>
    <xf numFmtId="0" fontId="24" fillId="16" borderId="1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wrapText="1"/>
    </xf>
    <xf numFmtId="0" fontId="24" fillId="16" borderId="1" xfId="0" applyFont="1" applyFill="1" applyBorder="1" applyAlignment="1">
      <alignment horizontal="left" vertical="top" wrapText="1"/>
    </xf>
    <xf numFmtId="0" fontId="84" fillId="0" borderId="1" xfId="0" applyFont="1" applyBorder="1" applyAlignment="1">
      <alignment vertical="center" wrapText="1"/>
    </xf>
    <xf numFmtId="0" fontId="24" fillId="5" borderId="4" xfId="0" applyFont="1" applyFill="1" applyBorder="1" applyAlignment="1">
      <alignment horizontal="left" vertical="top" wrapText="1"/>
    </xf>
    <xf numFmtId="0" fontId="24" fillId="11" borderId="0" xfId="0" applyFont="1" applyFill="1" applyAlignment="1">
      <alignment wrapText="1"/>
    </xf>
    <xf numFmtId="1" fontId="29" fillId="19" borderId="1" xfId="0" applyNumberFormat="1" applyFont="1" applyFill="1" applyBorder="1" applyAlignment="1">
      <alignment horizontal="center"/>
    </xf>
    <xf numFmtId="0" fontId="47" fillId="19" borderId="1" xfId="0" applyFont="1" applyFill="1" applyBorder="1" applyAlignment="1">
      <alignment horizontal="center" vertical="center"/>
    </xf>
    <xf numFmtId="0" fontId="47" fillId="0" borderId="7" xfId="0" applyFont="1" applyBorder="1"/>
    <xf numFmtId="0" fontId="88" fillId="11" borderId="0" xfId="0" applyFont="1" applyFill="1"/>
    <xf numFmtId="0" fontId="89" fillId="0" borderId="1" xfId="0" applyFont="1" applyBorder="1"/>
    <xf numFmtId="0" fontId="47" fillId="11" borderId="0" xfId="0" applyFont="1" applyFill="1"/>
    <xf numFmtId="1" fontId="29" fillId="19" borderId="0" xfId="0" applyNumberFormat="1" applyFont="1" applyFill="1" applyAlignment="1">
      <alignment horizontal="center"/>
    </xf>
    <xf numFmtId="9" fontId="24" fillId="20" borderId="0" xfId="0" applyNumberFormat="1" applyFont="1" applyFill="1" applyAlignment="1">
      <alignment horizontal="right" vertical="center"/>
    </xf>
    <xf numFmtId="0" fontId="24" fillId="20" borderId="0" xfId="0" applyFont="1" applyFill="1" applyAlignment="1">
      <alignment wrapText="1"/>
    </xf>
    <xf numFmtId="0" fontId="24" fillId="19" borderId="1" xfId="0" applyFont="1" applyFill="1" applyBorder="1" applyAlignment="1">
      <alignment horizontal="left" vertical="top" wrapText="1"/>
    </xf>
    <xf numFmtId="9" fontId="24" fillId="0" borderId="1" xfId="0" applyNumberFormat="1" applyFont="1" applyBorder="1" applyAlignment="1">
      <alignment horizontal="center" vertical="center"/>
    </xf>
    <xf numFmtId="0" fontId="24" fillId="11" borderId="0" xfId="0" applyFont="1" applyFill="1"/>
    <xf numFmtId="165" fontId="51" fillId="11" borderId="1" xfId="0" applyNumberFormat="1" applyFont="1" applyFill="1" applyBorder="1" applyAlignment="1">
      <alignment vertical="center" wrapText="1"/>
    </xf>
    <xf numFmtId="165" fontId="51" fillId="0" borderId="8" xfId="0" applyNumberFormat="1" applyFont="1" applyBorder="1" applyAlignment="1">
      <alignment vertical="center" wrapText="1"/>
    </xf>
    <xf numFmtId="165" fontId="51" fillId="7" borderId="5" xfId="0" applyNumberFormat="1" applyFont="1" applyFill="1" applyBorder="1" applyAlignment="1">
      <alignment vertical="center"/>
    </xf>
    <xf numFmtId="165" fontId="51" fillId="7" borderId="8" xfId="0" applyNumberFormat="1" applyFont="1" applyFill="1" applyBorder="1" applyAlignment="1">
      <alignment vertical="center"/>
    </xf>
    <xf numFmtId="165" fontId="51" fillId="0" borderId="1" xfId="0" applyNumberFormat="1" applyFont="1" applyBorder="1" applyAlignment="1">
      <alignment vertical="center" wrapText="1"/>
    </xf>
    <xf numFmtId="165" fontId="34" fillId="7" borderId="1" xfId="0" applyNumberFormat="1" applyFont="1" applyFill="1" applyBorder="1" applyAlignment="1">
      <alignment vertical="center"/>
    </xf>
    <xf numFmtId="165" fontId="24" fillId="0" borderId="5" xfId="0" applyNumberFormat="1" applyFont="1" applyBorder="1"/>
    <xf numFmtId="165" fontId="24" fillId="0" borderId="12" xfId="0" applyNumberFormat="1" applyFont="1" applyBorder="1"/>
    <xf numFmtId="173" fontId="24" fillId="0" borderId="12" xfId="0" applyNumberFormat="1" applyFont="1" applyBorder="1" applyAlignment="1">
      <alignment horizontal="center" vertical="center"/>
    </xf>
    <xf numFmtId="165" fontId="51" fillId="11" borderId="1" xfId="0" applyNumberFormat="1" applyFont="1" applyFill="1" applyBorder="1" applyAlignment="1">
      <alignment vertical="center"/>
    </xf>
    <xf numFmtId="165" fontId="51" fillId="7" borderId="1" xfId="0" applyNumberFormat="1" applyFont="1" applyFill="1" applyBorder="1" applyAlignment="1">
      <alignment vertical="center" wrapText="1"/>
    </xf>
    <xf numFmtId="0" fontId="24" fillId="0" borderId="5" xfId="0" applyFont="1" applyBorder="1"/>
    <xf numFmtId="0" fontId="24" fillId="0" borderId="12" xfId="0" applyFont="1" applyBorder="1"/>
    <xf numFmtId="0" fontId="31" fillId="0" borderId="12" xfId="3" applyFont="1" applyBorder="1" applyAlignment="1">
      <alignment horizontal="center" vertical="center"/>
    </xf>
    <xf numFmtId="0" fontId="27" fillId="0" borderId="12" xfId="0" applyFont="1" applyBorder="1" applyAlignment="1">
      <alignment wrapText="1"/>
    </xf>
    <xf numFmtId="0" fontId="59" fillId="0" borderId="0" xfId="0" applyFont="1" applyAlignment="1">
      <alignment horizontal="left"/>
    </xf>
    <xf numFmtId="0" fontId="24" fillId="0" borderId="5" xfId="0" applyFont="1" applyBorder="1" applyAlignment="1">
      <alignment wrapText="1"/>
    </xf>
    <xf numFmtId="0" fontId="51" fillId="7" borderId="1" xfId="0" applyFont="1" applyFill="1" applyBorder="1" applyAlignment="1">
      <alignment vertical="center"/>
    </xf>
    <xf numFmtId="0" fontId="24" fillId="0" borderId="12" xfId="0" applyFont="1" applyBorder="1" applyAlignment="1">
      <alignment wrapText="1"/>
    </xf>
    <xf numFmtId="165" fontId="51" fillId="0" borderId="13" xfId="0" applyNumberFormat="1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165" fontId="27" fillId="0" borderId="13" xfId="0" applyNumberFormat="1" applyFont="1" applyBorder="1" applyAlignment="1">
      <alignment horizontal="center" vertical="center"/>
    </xf>
    <xf numFmtId="165" fontId="90" fillId="0" borderId="1" xfId="0" applyNumberFormat="1" applyFont="1" applyBorder="1"/>
    <xf numFmtId="165" fontId="49" fillId="0" borderId="1" xfId="0" applyNumberFormat="1" applyFont="1" applyBorder="1"/>
    <xf numFmtId="10" fontId="24" fillId="0" borderId="1" xfId="0" applyNumberFormat="1" applyFont="1" applyBorder="1"/>
    <xf numFmtId="0" fontId="44" fillId="0" borderId="0" xfId="0" applyFont="1" applyAlignment="1">
      <alignment wrapText="1"/>
    </xf>
    <xf numFmtId="168" fontId="24" fillId="0" borderId="0" xfId="0" applyNumberFormat="1" applyFont="1"/>
    <xf numFmtId="0" fontId="31" fillId="0" borderId="1" xfId="3" applyFont="1" applyBorder="1"/>
    <xf numFmtId="0" fontId="54" fillId="0" borderId="1" xfId="0" applyFont="1" applyBorder="1"/>
    <xf numFmtId="0" fontId="27" fillId="3" borderId="1" xfId="0" applyFont="1" applyFill="1" applyBorder="1" applyAlignment="1">
      <alignment wrapText="1"/>
    </xf>
    <xf numFmtId="0" fontId="90" fillId="0" borderId="1" xfId="0" applyFont="1" applyBorder="1" applyAlignment="1">
      <alignment wrapText="1"/>
    </xf>
    <xf numFmtId="165" fontId="51" fillId="7" borderId="0" xfId="0" applyNumberFormat="1" applyFont="1" applyFill="1" applyAlignment="1">
      <alignment vertical="center"/>
    </xf>
    <xf numFmtId="166" fontId="34" fillId="0" borderId="1" xfId="0" applyNumberFormat="1" applyFont="1" applyBorder="1" applyAlignment="1">
      <alignment vertical="center"/>
    </xf>
    <xf numFmtId="165" fontId="60" fillId="0" borderId="0" xfId="0" applyNumberFormat="1" applyFont="1"/>
    <xf numFmtId="165" fontId="82" fillId="0" borderId="0" xfId="0" applyNumberFormat="1" applyFont="1"/>
    <xf numFmtId="169" fontId="39" fillId="0" borderId="1" xfId="0" applyNumberFormat="1" applyFont="1" applyBorder="1" applyAlignment="1">
      <alignment horizontal="center" vertical="center"/>
    </xf>
    <xf numFmtId="0" fontId="78" fillId="0" borderId="1" xfId="0" applyFont="1" applyBorder="1" applyAlignment="1">
      <alignment horizontal="left" vertical="center"/>
    </xf>
    <xf numFmtId="169" fontId="24" fillId="0" borderId="1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wrapText="1"/>
    </xf>
    <xf numFmtId="49" fontId="27" fillId="0" borderId="11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49" fontId="49" fillId="0" borderId="0" xfId="0" applyNumberFormat="1" applyFont="1" applyAlignment="1">
      <alignment wrapText="1"/>
    </xf>
    <xf numFmtId="49" fontId="24" fillId="0" borderId="11" xfId="0" applyNumberFormat="1" applyFont="1" applyBorder="1" applyAlignment="1">
      <alignment wrapText="1"/>
    </xf>
    <xf numFmtId="49" fontId="24" fillId="0" borderId="1" xfId="0" applyNumberFormat="1" applyFont="1" applyBorder="1" applyAlignment="1">
      <alignment wrapText="1"/>
    </xf>
    <xf numFmtId="0" fontId="82" fillId="0" borderId="0" xfId="0" applyFont="1" applyAlignment="1">
      <alignment wrapText="1"/>
    </xf>
    <xf numFmtId="0" fontId="65" fillId="0" borderId="0" xfId="0" applyFont="1" applyAlignment="1">
      <alignment wrapText="1"/>
    </xf>
    <xf numFmtId="0" fontId="24" fillId="0" borderId="13" xfId="0" applyFont="1" applyBorder="1"/>
    <xf numFmtId="165" fontId="27" fillId="0" borderId="11" xfId="0" applyNumberFormat="1" applyFont="1" applyBorder="1"/>
    <xf numFmtId="165" fontId="60" fillId="0" borderId="1" xfId="0" applyNumberFormat="1" applyFont="1" applyBorder="1"/>
    <xf numFmtId="165" fontId="32" fillId="0" borderId="1" xfId="0" applyNumberFormat="1" applyFont="1" applyBorder="1"/>
    <xf numFmtId="49" fontId="27" fillId="0" borderId="1" xfId="0" applyNumberFormat="1" applyFont="1" applyBorder="1" applyAlignment="1">
      <alignment wrapText="1"/>
    </xf>
    <xf numFmtId="49" fontId="54" fillId="0" borderId="1" xfId="0" applyNumberFormat="1" applyFont="1" applyBorder="1" applyAlignment="1">
      <alignment wrapText="1"/>
    </xf>
    <xf numFmtId="165" fontId="50" fillId="0" borderId="1" xfId="0" applyNumberFormat="1" applyFont="1" applyBorder="1" applyAlignment="1">
      <alignment horizontal="center" vertical="center"/>
    </xf>
    <xf numFmtId="0" fontId="34" fillId="0" borderId="0" xfId="0" applyFont="1"/>
    <xf numFmtId="165" fontId="34" fillId="0" borderId="1" xfId="0" applyNumberFormat="1" applyFont="1" applyBorder="1" applyAlignment="1">
      <alignment horizontal="right" vertical="center"/>
    </xf>
    <xf numFmtId="165" fontId="27" fillId="0" borderId="1" xfId="0" applyNumberFormat="1" applyFont="1" applyBorder="1" applyAlignment="1">
      <alignment horizontal="right" vertical="center"/>
    </xf>
    <xf numFmtId="0" fontId="34" fillId="3" borderId="0" xfId="0" applyFont="1" applyFill="1"/>
    <xf numFmtId="0" fontId="27" fillId="3" borderId="0" xfId="0" applyFont="1" applyFill="1"/>
    <xf numFmtId="0" fontId="34" fillId="0" borderId="8" xfId="0" applyFont="1" applyBorder="1"/>
    <xf numFmtId="0" fontId="27" fillId="0" borderId="8" xfId="0" applyFont="1" applyBorder="1"/>
    <xf numFmtId="0" fontId="51" fillId="3" borderId="1" xfId="0" applyFont="1" applyFill="1" applyBorder="1" applyAlignment="1">
      <alignment horizontal="left" vertical="top"/>
    </xf>
    <xf numFmtId="0" fontId="34" fillId="0" borderId="1" xfId="0" applyFont="1" applyBorder="1"/>
    <xf numFmtId="0" fontId="34" fillId="3" borderId="1" xfId="0" applyFont="1" applyFill="1" applyBorder="1" applyAlignment="1">
      <alignment horizontal="left" vertical="top" wrapText="1"/>
    </xf>
    <xf numFmtId="0" fontId="51" fillId="3" borderId="1" xfId="0" applyFont="1" applyFill="1" applyBorder="1" applyAlignment="1">
      <alignment wrapText="1"/>
    </xf>
    <xf numFmtId="0" fontId="31" fillId="0" borderId="0" xfId="3" applyFont="1" applyAlignment="1"/>
    <xf numFmtId="0" fontId="34" fillId="3" borderId="1" xfId="0" applyFont="1" applyFill="1" applyBorder="1"/>
    <xf numFmtId="165" fontId="27" fillId="0" borderId="8" xfId="0" applyNumberFormat="1" applyFont="1" applyBorder="1"/>
    <xf numFmtId="165" fontId="51" fillId="0" borderId="1" xfId="0" applyNumberFormat="1" applyFont="1" applyBorder="1"/>
    <xf numFmtId="165" fontId="27" fillId="0" borderId="1" xfId="0" applyNumberFormat="1" applyFont="1" applyBorder="1" applyAlignment="1">
      <alignment vertical="center"/>
    </xf>
    <xf numFmtId="173" fontId="60" fillId="0" borderId="0" xfId="0" applyNumberFormat="1" applyFont="1"/>
    <xf numFmtId="173" fontId="82" fillId="0" borderId="0" xfId="0" applyNumberFormat="1" applyFont="1"/>
    <xf numFmtId="0" fontId="24" fillId="0" borderId="8" xfId="0" applyFont="1" applyBorder="1" applyAlignment="1">
      <alignment horizontal="center" vertical="center"/>
    </xf>
    <xf numFmtId="0" fontId="60" fillId="0" borderId="1" xfId="0" applyFont="1" applyBorder="1" applyAlignment="1">
      <alignment wrapText="1"/>
    </xf>
    <xf numFmtId="0" fontId="60" fillId="0" borderId="8" xfId="0" applyFont="1" applyBorder="1" applyAlignment="1">
      <alignment wrapText="1"/>
    </xf>
    <xf numFmtId="0" fontId="47" fillId="0" borderId="0" xfId="0" applyFont="1" applyAlignment="1">
      <alignment horizontal="center" vertical="center"/>
    </xf>
    <xf numFmtId="165" fontId="51" fillId="0" borderId="5" xfId="0" applyNumberFormat="1" applyFont="1" applyBorder="1" applyAlignment="1">
      <alignment vertical="center"/>
    </xf>
    <xf numFmtId="166" fontId="82" fillId="0" borderId="1" xfId="0" applyNumberFormat="1" applyFont="1" applyBorder="1" applyAlignment="1">
      <alignment horizontal="center"/>
    </xf>
    <xf numFmtId="0" fontId="24" fillId="3" borderId="1" xfId="0" applyFont="1" applyFill="1" applyBorder="1" applyAlignment="1">
      <alignment horizontal="center" vertical="center"/>
    </xf>
    <xf numFmtId="0" fontId="47" fillId="3" borderId="1" xfId="0" applyFont="1" applyFill="1" applyBorder="1"/>
    <xf numFmtId="0" fontId="90" fillId="0" borderId="1" xfId="0" applyFont="1" applyBorder="1"/>
    <xf numFmtId="173" fontId="82" fillId="0" borderId="8" xfId="0" applyNumberFormat="1" applyFont="1" applyBorder="1" applyAlignment="1">
      <alignment horizontal="center"/>
    </xf>
    <xf numFmtId="0" fontId="27" fillId="0" borderId="1" xfId="0" applyFont="1" applyBorder="1" applyAlignment="1">
      <alignment horizontal="left" vertical="top" wrapText="1"/>
    </xf>
    <xf numFmtId="168" fontId="34" fillId="0" borderId="1" xfId="0" applyNumberFormat="1" applyFont="1" applyBorder="1" applyAlignment="1">
      <alignment vertical="center"/>
    </xf>
    <xf numFmtId="168" fontId="24" fillId="3" borderId="0" xfId="0" applyNumberFormat="1" applyFont="1" applyFill="1"/>
    <xf numFmtId="49" fontId="29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 indent="1"/>
    </xf>
    <xf numFmtId="10" fontId="24" fillId="11" borderId="1" xfId="0" applyNumberFormat="1" applyFont="1" applyFill="1" applyBorder="1" applyAlignment="1">
      <alignment vertical="center"/>
    </xf>
    <xf numFmtId="0" fontId="69" fillId="0" borderId="0" xfId="0" applyFont="1" applyAlignment="1">
      <alignment horizontal="center" vertical="center"/>
    </xf>
    <xf numFmtId="1" fontId="51" fillId="3" borderId="0" xfId="0" applyNumberFormat="1" applyFont="1" applyFill="1" applyAlignment="1">
      <alignment horizontal="center"/>
    </xf>
    <xf numFmtId="165" fontId="34" fillId="0" borderId="1" xfId="0" applyNumberFormat="1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/>
    </xf>
    <xf numFmtId="1" fontId="51" fillId="3" borderId="1" xfId="0" applyNumberFormat="1" applyFont="1" applyFill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2" fillId="3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3" borderId="0" xfId="0" applyFont="1" applyFill="1" applyAlignment="1">
      <alignment vertical="center" wrapText="1"/>
    </xf>
    <xf numFmtId="0" fontId="32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32" fillId="19" borderId="0" xfId="0" applyFont="1" applyFill="1" applyAlignment="1">
      <alignment vertical="center" wrapText="1"/>
    </xf>
    <xf numFmtId="49" fontId="24" fillId="0" borderId="1" xfId="0" applyNumberFormat="1" applyFont="1" applyBorder="1" applyAlignment="1">
      <alignment horizontal="left" vertical="top" wrapText="1"/>
    </xf>
    <xf numFmtId="49" fontId="24" fillId="0" borderId="0" xfId="0" applyNumberFormat="1" applyFont="1" applyAlignment="1">
      <alignment wrapText="1"/>
    </xf>
    <xf numFmtId="1" fontId="51" fillId="0" borderId="1" xfId="0" applyNumberFormat="1" applyFont="1" applyBorder="1" applyAlignment="1">
      <alignment horizontal="center"/>
    </xf>
    <xf numFmtId="0" fontId="24" fillId="0" borderId="6" xfId="0" applyFont="1" applyBorder="1"/>
    <xf numFmtId="1" fontId="29" fillId="6" borderId="1" xfId="0" applyNumberFormat="1" applyFont="1" applyFill="1" applyBorder="1" applyAlignment="1">
      <alignment horizontal="center" wrapText="1"/>
    </xf>
    <xf numFmtId="169" fontId="34" fillId="10" borderId="1" xfId="0" applyNumberFormat="1" applyFont="1" applyFill="1" applyBorder="1" applyAlignment="1">
      <alignment horizontal="center" vertical="center"/>
    </xf>
    <xf numFmtId="14" fontId="34" fillId="4" borderId="1" xfId="0" applyNumberFormat="1" applyFont="1" applyFill="1" applyBorder="1" applyAlignment="1">
      <alignment vertical="center"/>
    </xf>
    <xf numFmtId="9" fontId="34" fillId="4" borderId="1" xfId="0" applyNumberFormat="1" applyFont="1" applyFill="1" applyBorder="1" applyAlignment="1">
      <alignment vertical="center"/>
    </xf>
    <xf numFmtId="1" fontId="51" fillId="8" borderId="1" xfId="0" applyNumberFormat="1" applyFont="1" applyFill="1" applyBorder="1" applyAlignment="1">
      <alignment horizontal="center"/>
    </xf>
    <xf numFmtId="0" fontId="34" fillId="9" borderId="0" xfId="0" applyFont="1" applyFill="1"/>
    <xf numFmtId="1" fontId="51" fillId="6" borderId="1" xfId="0" applyNumberFormat="1" applyFont="1" applyFill="1" applyBorder="1" applyAlignment="1">
      <alignment horizontal="center"/>
    </xf>
    <xf numFmtId="0" fontId="31" fillId="3" borderId="0" xfId="3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69" fillId="3" borderId="0" xfId="0" applyFont="1" applyFill="1"/>
    <xf numFmtId="0" fontId="32" fillId="0" borderId="8" xfId="0" applyFont="1" applyBorder="1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49" fontId="29" fillId="6" borderId="0" xfId="0" applyNumberFormat="1" applyFont="1" applyFill="1" applyAlignment="1">
      <alignment horizontal="center" vertical="center" wrapText="1"/>
    </xf>
    <xf numFmtId="1" fontId="29" fillId="2" borderId="0" xfId="0" applyNumberFormat="1" applyFont="1" applyFill="1" applyAlignment="1">
      <alignment horizontal="center"/>
    </xf>
    <xf numFmtId="0" fontId="52" fillId="0" borderId="0" xfId="0" applyFont="1" applyAlignment="1">
      <alignment vertical="center" wrapText="1"/>
    </xf>
    <xf numFmtId="49" fontId="29" fillId="0" borderId="0" xfId="0" applyNumberFormat="1" applyFont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 wrapText="1"/>
    </xf>
    <xf numFmtId="0" fontId="24" fillId="2" borderId="0" xfId="0" applyFont="1" applyFill="1"/>
    <xf numFmtId="49" fontId="24" fillId="0" borderId="8" xfId="0" applyNumberFormat="1" applyFont="1" applyBorder="1" applyAlignment="1">
      <alignment vertical="center" wrapText="1"/>
    </xf>
    <xf numFmtId="0" fontId="24" fillId="7" borderId="1" xfId="0" applyFont="1" applyFill="1" applyBorder="1" applyAlignment="1">
      <alignment vertical="top"/>
    </xf>
    <xf numFmtId="49" fontId="24" fillId="0" borderId="0" xfId="0" applyNumberFormat="1" applyFont="1" applyAlignment="1">
      <alignment vertical="center" wrapText="1"/>
    </xf>
    <xf numFmtId="49" fontId="29" fillId="2" borderId="3" xfId="0" applyNumberFormat="1" applyFont="1" applyFill="1" applyBorder="1" applyAlignment="1">
      <alignment horizontal="center" wrapText="1"/>
    </xf>
    <xf numFmtId="49" fontId="24" fillId="7" borderId="5" xfId="0" applyNumberFormat="1" applyFont="1" applyFill="1" applyBorder="1" applyAlignment="1">
      <alignment vertical="center" wrapText="1"/>
    </xf>
    <xf numFmtId="0" fontId="33" fillId="0" borderId="0" xfId="3" applyFont="1" applyAlignment="1">
      <alignment horizontal="center" vertical="center" wrapText="1"/>
    </xf>
    <xf numFmtId="0" fontId="31" fillId="0" borderId="1" xfId="3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 wrapText="1"/>
    </xf>
    <xf numFmtId="1" fontId="29" fillId="2" borderId="3" xfId="0" applyNumberFormat="1" applyFont="1" applyFill="1" applyBorder="1" applyAlignment="1">
      <alignment horizontal="center"/>
    </xf>
    <xf numFmtId="0" fontId="93" fillId="3" borderId="0" xfId="0" applyFont="1" applyFill="1" applyAlignment="1">
      <alignment horizontal="right" vertical="center" wrapText="1"/>
    </xf>
    <xf numFmtId="0" fontId="93" fillId="3" borderId="0" xfId="0" applyFont="1" applyFill="1" applyAlignment="1">
      <alignment horizontal="right" vertical="center"/>
    </xf>
    <xf numFmtId="0" fontId="69" fillId="3" borderId="0" xfId="0" applyFont="1" applyFill="1" applyAlignment="1">
      <alignment horizontal="right"/>
    </xf>
    <xf numFmtId="0" fontId="24" fillId="7" borderId="0" xfId="0" applyFont="1" applyFill="1" applyAlignment="1">
      <alignment horizontal="center" vertical="center"/>
    </xf>
    <xf numFmtId="0" fontId="92" fillId="3" borderId="0" xfId="0" applyFont="1" applyFill="1" applyAlignment="1">
      <alignment horizontal="right" vertical="center"/>
    </xf>
    <xf numFmtId="0" fontId="94" fillId="0" borderId="0" xfId="0" applyFont="1" applyAlignment="1">
      <alignment horizontal="left" vertical="center"/>
    </xf>
    <xf numFmtId="165" fontId="95" fillId="7" borderId="1" xfId="0" applyNumberFormat="1" applyFont="1" applyFill="1" applyBorder="1" applyAlignment="1">
      <alignment vertical="center"/>
    </xf>
    <xf numFmtId="0" fontId="94" fillId="7" borderId="0" xfId="0" applyFont="1" applyFill="1" applyAlignment="1">
      <alignment horizontal="left" vertical="center"/>
    </xf>
    <xf numFmtId="0" fontId="94" fillId="0" borderId="0" xfId="0" applyFont="1" applyAlignment="1">
      <alignment vertical="center"/>
    </xf>
    <xf numFmtId="0" fontId="94" fillId="0" borderId="0" xfId="0" applyFont="1"/>
    <xf numFmtId="0" fontId="94" fillId="3" borderId="0" xfId="0" applyFont="1" applyFill="1" applyAlignment="1">
      <alignment horizontal="left" vertical="center"/>
    </xf>
    <xf numFmtId="0" fontId="94" fillId="0" borderId="0" xfId="0" applyFont="1" applyAlignment="1">
      <alignment vertical="top"/>
    </xf>
    <xf numFmtId="165" fontId="51" fillId="0" borderId="8" xfId="0" applyNumberFormat="1" applyFont="1" applyBorder="1" applyAlignment="1">
      <alignment vertical="center"/>
    </xf>
    <xf numFmtId="0" fontId="59" fillId="0" borderId="1" xfId="0" applyFont="1" applyBorder="1" applyAlignment="1">
      <alignment horizontal="left"/>
    </xf>
    <xf numFmtId="0" fontId="59" fillId="0" borderId="5" xfId="0" applyFont="1" applyBorder="1" applyAlignment="1">
      <alignment horizontal="center"/>
    </xf>
    <xf numFmtId="165" fontId="27" fillId="0" borderId="0" xfId="0" applyNumberFormat="1" applyFont="1" applyAlignment="1">
      <alignment horizontal="center" vertical="center"/>
    </xf>
    <xf numFmtId="0" fontId="31" fillId="0" borderId="3" xfId="3" applyFont="1" applyBorder="1" applyAlignment="1">
      <alignment horizontal="center" vertical="center"/>
    </xf>
    <xf numFmtId="0" fontId="31" fillId="0" borderId="5" xfId="3" applyFont="1" applyBorder="1" applyAlignment="1">
      <alignment horizontal="center" vertical="center"/>
    </xf>
    <xf numFmtId="0" fontId="47" fillId="0" borderId="3" xfId="0" applyFont="1" applyBorder="1"/>
    <xf numFmtId="0" fontId="24" fillId="0" borderId="5" xfId="0" applyFont="1" applyBorder="1" applyAlignment="1">
      <alignment horizontal="center" vertical="center"/>
    </xf>
    <xf numFmtId="0" fontId="27" fillId="0" borderId="5" xfId="0" applyFont="1" applyBorder="1"/>
    <xf numFmtId="0" fontId="59" fillId="0" borderId="5" xfId="0" applyFont="1" applyBorder="1" applyAlignment="1">
      <alignment horizontal="center" vertical="center"/>
    </xf>
    <xf numFmtId="0" fontId="69" fillId="0" borderId="9" xfId="0" applyFont="1" applyBorder="1" applyAlignment="1">
      <alignment horizontal="center"/>
    </xf>
    <xf numFmtId="0" fontId="69" fillId="0" borderId="9" xfId="0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/>
    </xf>
    <xf numFmtId="1" fontId="29" fillId="0" borderId="0" xfId="0" applyNumberFormat="1" applyFont="1" applyAlignment="1">
      <alignment horizontal="center" vertical="center"/>
    </xf>
    <xf numFmtId="171" fontId="63" fillId="0" borderId="0" xfId="0" applyNumberFormat="1" applyFont="1" applyAlignment="1">
      <alignment horizontal="center" vertical="center"/>
    </xf>
    <xf numFmtId="165" fontId="61" fillId="0" borderId="0" xfId="0" applyNumberFormat="1" applyFont="1" applyAlignment="1">
      <alignment vertical="center"/>
    </xf>
    <xf numFmtId="165" fontId="64" fillId="0" borderId="0" xfId="0" applyNumberFormat="1" applyFont="1" applyAlignment="1">
      <alignment vertical="center"/>
    </xf>
    <xf numFmtId="165" fontId="24" fillId="0" borderId="0" xfId="0" applyNumberFormat="1" applyFont="1" applyAlignment="1">
      <alignment horizontal="right"/>
    </xf>
    <xf numFmtId="9" fontId="24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right" vertical="center" wrapText="1"/>
    </xf>
    <xf numFmtId="165" fontId="71" fillId="0" borderId="0" xfId="0" applyNumberFormat="1" applyFont="1" applyAlignment="1">
      <alignment vertical="center"/>
    </xf>
    <xf numFmtId="165" fontId="30" fillId="0" borderId="0" xfId="0" applyNumberFormat="1" applyFont="1"/>
    <xf numFmtId="165" fontId="51" fillId="0" borderId="0" xfId="0" applyNumberFormat="1" applyFont="1" applyAlignment="1">
      <alignment vertical="center" wrapText="1"/>
    </xf>
    <xf numFmtId="173" fontId="24" fillId="0" borderId="0" xfId="0" applyNumberFormat="1" applyFont="1" applyAlignment="1">
      <alignment horizontal="center" vertical="center"/>
    </xf>
    <xf numFmtId="166" fontId="82" fillId="0" borderId="0" xfId="0" applyNumberFormat="1" applyFont="1" applyAlignment="1">
      <alignment horizontal="center"/>
    </xf>
    <xf numFmtId="9" fontId="34" fillId="0" borderId="0" xfId="0" applyNumberFormat="1" applyFont="1" applyAlignment="1">
      <alignment vertical="center"/>
    </xf>
    <xf numFmtId="168" fontId="34" fillId="0" borderId="0" xfId="0" applyNumberFormat="1" applyFont="1" applyAlignment="1">
      <alignment vertical="center"/>
    </xf>
    <xf numFmtId="171" fontId="86" fillId="0" borderId="0" xfId="0" applyNumberFormat="1" applyFont="1" applyAlignment="1">
      <alignment horizontal="center" vertical="center"/>
    </xf>
    <xf numFmtId="9" fontId="24" fillId="0" borderId="0" xfId="0" applyNumberFormat="1" applyFont="1" applyAlignment="1">
      <alignment horizontal="center"/>
    </xf>
    <xf numFmtId="165" fontId="95" fillId="0" borderId="0" xfId="0" applyNumberFormat="1" applyFont="1" applyAlignment="1">
      <alignment vertical="center"/>
    </xf>
    <xf numFmtId="171" fontId="32" fillId="15" borderId="1" xfId="0" applyNumberFormat="1" applyFont="1" applyFill="1" applyBorder="1" applyAlignment="1">
      <alignment horizontal="center"/>
    </xf>
    <xf numFmtId="171" fontId="32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left" wrapText="1" indent="1"/>
    </xf>
    <xf numFmtId="0" fontId="37" fillId="7" borderId="0" xfId="0" applyFont="1" applyFill="1"/>
    <xf numFmtId="49" fontId="49" fillId="0" borderId="1" xfId="0" applyNumberFormat="1" applyFont="1" applyBorder="1" applyAlignment="1">
      <alignment wrapText="1"/>
    </xf>
    <xf numFmtId="0" fontId="8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/>
    </xf>
    <xf numFmtId="49" fontId="27" fillId="3" borderId="1" xfId="0" applyNumberFormat="1" applyFont="1" applyFill="1" applyBorder="1" applyAlignment="1">
      <alignment wrapText="1"/>
    </xf>
    <xf numFmtId="0" fontId="46" fillId="0" borderId="1" xfId="0" applyFont="1" applyBorder="1" applyAlignment="1">
      <alignment horizontal="left"/>
    </xf>
    <xf numFmtId="0" fontId="49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/>
    </xf>
    <xf numFmtId="173" fontId="24" fillId="0" borderId="1" xfId="0" applyNumberFormat="1" applyFont="1" applyBorder="1" applyAlignment="1">
      <alignment horizontal="center"/>
    </xf>
    <xf numFmtId="173" fontId="24" fillId="0" borderId="1" xfId="0" applyNumberFormat="1" applyFont="1" applyBorder="1"/>
    <xf numFmtId="168" fontId="24" fillId="0" borderId="1" xfId="0" applyNumberFormat="1" applyFont="1" applyBorder="1" applyAlignment="1">
      <alignment horizontal="right" vertical="center"/>
    </xf>
    <xf numFmtId="1" fontId="29" fillId="0" borderId="8" xfId="0" applyNumberFormat="1" applyFont="1" applyBorder="1" applyAlignment="1">
      <alignment horizontal="center"/>
    </xf>
    <xf numFmtId="0" fontId="24" fillId="0" borderId="1" xfId="0" applyFont="1" applyBorder="1" applyAlignment="1">
      <alignment horizontal="left" vertical="center" wrapText="1" indent="1"/>
    </xf>
    <xf numFmtId="0" fontId="3" fillId="0" borderId="1" xfId="3" applyFill="1" applyBorder="1" applyAlignment="1">
      <alignment horizontal="center" vertical="center"/>
    </xf>
    <xf numFmtId="0" fontId="37" fillId="0" borderId="27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96" fillId="0" borderId="0" xfId="0" applyFont="1"/>
    <xf numFmtId="0" fontId="32" fillId="0" borderId="27" xfId="0" applyFont="1" applyBorder="1" applyAlignment="1">
      <alignment horizontal="left" vertical="center" wrapText="1"/>
    </xf>
    <xf numFmtId="0" fontId="80" fillId="0" borderId="27" xfId="0" applyFont="1" applyBorder="1" applyAlignment="1">
      <alignment horizontal="center" vertical="center" wrapText="1"/>
    </xf>
    <xf numFmtId="0" fontId="80" fillId="0" borderId="27" xfId="0" applyFont="1" applyBorder="1" applyAlignment="1">
      <alignment horizontal="left" vertical="center" wrapText="1"/>
    </xf>
    <xf numFmtId="0" fontId="80" fillId="0" borderId="27" xfId="0" applyFont="1" applyBorder="1" applyAlignment="1">
      <alignment vertical="center" wrapText="1"/>
    </xf>
    <xf numFmtId="14" fontId="99" fillId="0" borderId="27" xfId="0" applyNumberFormat="1" applyFont="1" applyBorder="1" applyAlignment="1">
      <alignment horizontal="center" vertical="center" wrapText="1"/>
    </xf>
    <xf numFmtId="14" fontId="99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102" fillId="0" borderId="27" xfId="0" applyFont="1" applyBorder="1" applyAlignment="1">
      <alignment vertical="center" wrapText="1"/>
    </xf>
    <xf numFmtId="0" fontId="25" fillId="0" borderId="27" xfId="0" applyFont="1" applyBorder="1" applyAlignment="1">
      <alignment horizontal="center" vertical="center" wrapText="1"/>
    </xf>
    <xf numFmtId="165" fontId="103" fillId="0" borderId="27" xfId="0" applyNumberFormat="1" applyFont="1" applyBorder="1" applyAlignment="1">
      <alignment horizontal="center" vertical="center" wrapText="1"/>
    </xf>
    <xf numFmtId="2" fontId="103" fillId="0" borderId="27" xfId="0" applyNumberFormat="1" applyFont="1" applyBorder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80" fillId="0" borderId="0" xfId="0" applyFont="1" applyAlignment="1">
      <alignment vertical="center" wrapText="1"/>
    </xf>
    <xf numFmtId="2" fontId="103" fillId="0" borderId="0" xfId="0" applyNumberFormat="1" applyFont="1" applyAlignment="1">
      <alignment horizontal="center" vertical="center" wrapText="1"/>
    </xf>
    <xf numFmtId="2" fontId="105" fillId="0" borderId="0" xfId="0" applyNumberFormat="1" applyFont="1" applyAlignment="1">
      <alignment horizontal="center" vertical="center" wrapText="1"/>
    </xf>
    <xf numFmtId="0" fontId="25" fillId="0" borderId="27" xfId="0" applyFont="1" applyBorder="1" applyAlignment="1">
      <alignment vertical="center" wrapText="1"/>
    </xf>
    <xf numFmtId="3" fontId="103" fillId="0" borderId="27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80" fillId="0" borderId="27" xfId="0" applyFont="1" applyBorder="1" applyAlignment="1">
      <alignment horizontal="left" vertical="center" wrapText="1" indent="2"/>
    </xf>
    <xf numFmtId="0" fontId="101" fillId="0" borderId="27" xfId="0" applyFont="1" applyBorder="1" applyAlignment="1">
      <alignment horizontal="center" vertical="center" wrapText="1"/>
    </xf>
    <xf numFmtId="165" fontId="101" fillId="0" borderId="27" xfId="0" applyNumberFormat="1" applyFont="1" applyBorder="1" applyAlignment="1">
      <alignment horizontal="center" vertical="center" wrapText="1"/>
    </xf>
    <xf numFmtId="10" fontId="101" fillId="0" borderId="27" xfId="0" applyNumberFormat="1" applyFont="1" applyBorder="1" applyAlignment="1">
      <alignment horizontal="center" vertical="center" wrapText="1"/>
    </xf>
    <xf numFmtId="2" fontId="101" fillId="0" borderId="27" xfId="0" applyNumberFormat="1" applyFont="1" applyBorder="1" applyAlignment="1">
      <alignment horizontal="center" vertical="center" wrapText="1"/>
    </xf>
    <xf numFmtId="0" fontId="100" fillId="0" borderId="27" xfId="0" applyFont="1" applyBorder="1" applyAlignment="1">
      <alignment horizontal="center" vertical="center" wrapText="1"/>
    </xf>
    <xf numFmtId="0" fontId="25" fillId="0" borderId="0" xfId="0" applyFont="1"/>
    <xf numFmtId="165" fontId="80" fillId="0" borderId="27" xfId="0" applyNumberFormat="1" applyFont="1" applyBorder="1" applyAlignment="1">
      <alignment horizontal="center" vertical="center"/>
    </xf>
    <xf numFmtId="0" fontId="109" fillId="0" borderId="0" xfId="0" applyFont="1"/>
    <xf numFmtId="165" fontId="94" fillId="0" borderId="27" xfId="0" applyNumberFormat="1" applyFont="1" applyBorder="1" applyAlignment="1">
      <alignment horizontal="center" vertical="center" wrapText="1"/>
    </xf>
    <xf numFmtId="0" fontId="94" fillId="0" borderId="27" xfId="0" applyFont="1" applyBorder="1" applyAlignment="1">
      <alignment horizontal="left" vertical="center" wrapText="1" indent="2"/>
    </xf>
    <xf numFmtId="0" fontId="94" fillId="0" borderId="0" xfId="0" applyFont="1" applyAlignment="1">
      <alignment horizontal="center" vertical="center" wrapText="1"/>
    </xf>
    <xf numFmtId="2" fontId="94" fillId="0" borderId="0" xfId="0" applyNumberFormat="1" applyFont="1" applyAlignment="1">
      <alignment horizontal="center" vertical="center" wrapText="1"/>
    </xf>
    <xf numFmtId="0" fontId="110" fillId="0" borderId="0" xfId="0" applyFont="1"/>
    <xf numFmtId="0" fontId="111" fillId="9" borderId="0" xfId="0" applyFont="1" applyFill="1" applyAlignment="1">
      <alignment horizontal="left" vertical="center" wrapText="1"/>
    </xf>
    <xf numFmtId="0" fontId="112" fillId="9" borderId="0" xfId="0" applyFont="1" applyFill="1" applyAlignment="1">
      <alignment horizontal="left" vertical="center" wrapText="1"/>
    </xf>
    <xf numFmtId="0" fontId="113" fillId="0" borderId="27" xfId="0" applyFont="1" applyBorder="1" applyAlignment="1">
      <alignment horizontal="left" vertical="center" wrapText="1" indent="2"/>
    </xf>
    <xf numFmtId="165" fontId="113" fillId="0" borderId="27" xfId="0" applyNumberFormat="1" applyFont="1" applyBorder="1" applyAlignment="1">
      <alignment horizontal="center" vertical="center" wrapText="1"/>
    </xf>
    <xf numFmtId="0" fontId="114" fillId="0" borderId="27" xfId="0" applyFont="1" applyBorder="1" applyAlignment="1">
      <alignment vertical="center" wrapText="1"/>
    </xf>
    <xf numFmtId="0" fontId="108" fillId="0" borderId="0" xfId="0" applyFont="1" applyAlignment="1">
      <alignment vertical="center"/>
    </xf>
    <xf numFmtId="0" fontId="24" fillId="26" borderId="1" xfId="0" applyFont="1" applyFill="1" applyBorder="1" applyAlignment="1">
      <alignment vertical="center"/>
    </xf>
    <xf numFmtId="0" fontId="32" fillId="26" borderId="0" xfId="0" applyFont="1" applyFill="1" applyAlignment="1">
      <alignment horizontal="left" vertical="center" wrapText="1"/>
    </xf>
    <xf numFmtId="0" fontId="3" fillId="0" borderId="1" xfId="3" applyFill="1" applyBorder="1" applyAlignment="1">
      <alignment horizontal="left" vertical="center" wrapText="1"/>
    </xf>
    <xf numFmtId="168" fontId="24" fillId="23" borderId="1" xfId="0" applyNumberFormat="1" applyFont="1" applyFill="1" applyBorder="1"/>
    <xf numFmtId="168" fontId="24" fillId="0" borderId="1" xfId="0" applyNumberFormat="1" applyFont="1" applyFill="1" applyBorder="1"/>
    <xf numFmtId="165" fontId="34" fillId="23" borderId="1" xfId="0" applyNumberFormat="1" applyFont="1" applyFill="1" applyBorder="1" applyAlignment="1">
      <alignment vertical="center"/>
    </xf>
    <xf numFmtId="166" fontId="34" fillId="23" borderId="1" xfId="0" applyNumberFormat="1" applyFont="1" applyFill="1" applyBorder="1" applyAlignment="1">
      <alignment vertical="center"/>
    </xf>
    <xf numFmtId="166" fontId="34" fillId="23" borderId="8" xfId="0" applyNumberFormat="1" applyFont="1" applyFill="1" applyBorder="1" applyAlignment="1">
      <alignment vertical="center"/>
    </xf>
    <xf numFmtId="170" fontId="24" fillId="0" borderId="1" xfId="0" applyNumberFormat="1" applyFont="1" applyFill="1" applyBorder="1" applyAlignment="1">
      <alignment horizontal="right"/>
    </xf>
    <xf numFmtId="0" fontId="3" fillId="0" borderId="8" xfId="3" applyFill="1" applyBorder="1" applyAlignment="1">
      <alignment wrapText="1"/>
    </xf>
    <xf numFmtId="0" fontId="3" fillId="0" borderId="8" xfId="3" applyFill="1" applyBorder="1" applyAlignment="1">
      <alignment horizontal="center" vertical="center" wrapText="1"/>
    </xf>
    <xf numFmtId="9" fontId="24" fillId="0" borderId="1" xfId="0" applyNumberFormat="1" applyFont="1" applyFill="1" applyBorder="1"/>
    <xf numFmtId="0" fontId="3" fillId="0" borderId="0" xfId="3"/>
    <xf numFmtId="0" fontId="3" fillId="0" borderId="0" xfId="3" applyFill="1" applyAlignment="1">
      <alignment wrapText="1"/>
    </xf>
    <xf numFmtId="0" fontId="3" fillId="0" borderId="0" xfId="3" applyAlignment="1">
      <alignment horizontal="left" vertical="center"/>
    </xf>
    <xf numFmtId="165" fontId="3" fillId="0" borderId="0" xfId="3" applyNumberFormat="1" applyAlignment="1">
      <alignment vertical="center"/>
    </xf>
    <xf numFmtId="0" fontId="24" fillId="0" borderId="0" xfId="0" applyFont="1" applyFill="1" applyAlignment="1">
      <alignment horizontal="left" vertical="top" wrapText="1"/>
    </xf>
    <xf numFmtId="170" fontId="34" fillId="0" borderId="1" xfId="0" applyNumberFormat="1" applyFont="1" applyBorder="1" applyAlignment="1">
      <alignment horizontal="right"/>
    </xf>
    <xf numFmtId="1" fontId="51" fillId="23" borderId="1" xfId="0" applyNumberFormat="1" applyFont="1" applyFill="1" applyBorder="1" applyAlignment="1">
      <alignment horizontal="center" vertical="center"/>
    </xf>
    <xf numFmtId="171" fontId="32" fillId="23" borderId="1" xfId="0" applyNumberFormat="1" applyFont="1" applyFill="1" applyBorder="1" applyAlignment="1">
      <alignment horizontal="center"/>
    </xf>
    <xf numFmtId="0" fontId="44" fillId="0" borderId="1" xfId="0" applyFont="1" applyBorder="1"/>
    <xf numFmtId="0" fontId="24" fillId="3" borderId="9" xfId="0" applyFont="1" applyFill="1" applyBorder="1"/>
    <xf numFmtId="0" fontId="46" fillId="0" borderId="13" xfId="0" applyFont="1" applyBorder="1" applyAlignment="1">
      <alignment horizontal="left"/>
    </xf>
    <xf numFmtId="0" fontId="47" fillId="0" borderId="3" xfId="0" applyFont="1" applyBorder="1" applyAlignment="1">
      <alignment horizontal="center" vertical="center"/>
    </xf>
    <xf numFmtId="0" fontId="27" fillId="0" borderId="45" xfId="0" applyFont="1" applyBorder="1" applyAlignment="1">
      <alignment wrapText="1"/>
    </xf>
    <xf numFmtId="0" fontId="47" fillId="0" borderId="46" xfId="0" applyFont="1" applyBorder="1" applyAlignment="1">
      <alignment horizontal="center" vertical="center"/>
    </xf>
    <xf numFmtId="178" fontId="27" fillId="0" borderId="47" xfId="0" applyNumberFormat="1" applyFont="1" applyBorder="1"/>
    <xf numFmtId="0" fontId="24" fillId="0" borderId="47" xfId="0" applyFont="1" applyBorder="1"/>
    <xf numFmtId="0" fontId="24" fillId="0" borderId="48" xfId="0" applyFont="1" applyBorder="1" applyAlignment="1">
      <alignment wrapText="1"/>
    </xf>
    <xf numFmtId="178" fontId="27" fillId="0" borderId="0" xfId="0" applyNumberFormat="1" applyFont="1" applyBorder="1"/>
    <xf numFmtId="0" fontId="24" fillId="0" borderId="0" xfId="0" applyFont="1" applyBorder="1"/>
    <xf numFmtId="0" fontId="27" fillId="0" borderId="50" xfId="0" applyFont="1" applyBorder="1" applyAlignment="1">
      <alignment wrapText="1"/>
    </xf>
    <xf numFmtId="0" fontId="24" fillId="0" borderId="51" xfId="0" applyFont="1" applyBorder="1" applyAlignment="1">
      <alignment wrapText="1"/>
    </xf>
    <xf numFmtId="178" fontId="27" fillId="0" borderId="7" xfId="0" applyNumberFormat="1" applyFont="1" applyBorder="1"/>
    <xf numFmtId="165" fontId="34" fillId="0" borderId="52" xfId="0" applyNumberFormat="1" applyFont="1" applyBorder="1" applyAlignment="1">
      <alignment vertical="center"/>
    </xf>
    <xf numFmtId="0" fontId="27" fillId="0" borderId="53" xfId="0" applyFont="1" applyBorder="1" applyAlignment="1">
      <alignment wrapText="1"/>
    </xf>
    <xf numFmtId="0" fontId="27" fillId="0" borderId="54" xfId="0" applyFont="1" applyBorder="1" applyAlignment="1">
      <alignment wrapText="1"/>
    </xf>
    <xf numFmtId="0" fontId="47" fillId="0" borderId="12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0" fontId="27" fillId="0" borderId="56" xfId="0" applyFont="1" applyBorder="1" applyAlignment="1">
      <alignment wrapText="1"/>
    </xf>
    <xf numFmtId="166" fontId="34" fillId="0" borderId="4" xfId="0" applyNumberFormat="1" applyFont="1" applyBorder="1" applyAlignment="1">
      <alignment vertical="center"/>
    </xf>
    <xf numFmtId="0" fontId="47" fillId="0" borderId="9" xfId="0" applyFont="1" applyBorder="1" applyAlignment="1">
      <alignment horizontal="center" vertical="center"/>
    </xf>
    <xf numFmtId="166" fontId="51" fillId="0" borderId="4" xfId="0" applyNumberFormat="1" applyFont="1" applyBorder="1" applyAlignment="1">
      <alignment vertical="center"/>
    </xf>
    <xf numFmtId="178" fontId="27" fillId="0" borderId="0" xfId="0" applyNumberFormat="1" applyFont="1" applyFill="1" applyBorder="1"/>
    <xf numFmtId="0" fontId="27" fillId="0" borderId="59" xfId="0" applyFont="1" applyBorder="1" applyAlignment="1">
      <alignment wrapText="1"/>
    </xf>
    <xf numFmtId="165" fontId="34" fillId="23" borderId="46" xfId="0" applyNumberFormat="1" applyFont="1" applyFill="1" applyBorder="1" applyAlignment="1">
      <alignment vertical="center"/>
    </xf>
    <xf numFmtId="165" fontId="34" fillId="0" borderId="1" xfId="0" applyNumberFormat="1" applyFont="1" applyFill="1" applyBorder="1" applyAlignment="1">
      <alignment vertical="center"/>
    </xf>
    <xf numFmtId="165" fontId="34" fillId="0" borderId="49" xfId="0" applyNumberFormat="1" applyFont="1" applyFill="1" applyBorder="1" applyAlignment="1">
      <alignment vertical="center"/>
    </xf>
    <xf numFmtId="178" fontId="34" fillId="0" borderId="1" xfId="0" applyNumberFormat="1" applyFont="1" applyFill="1" applyBorder="1" applyAlignment="1">
      <alignment vertical="center"/>
    </xf>
    <xf numFmtId="166" fontId="34" fillId="0" borderId="4" xfId="0" applyNumberFormat="1" applyFont="1" applyFill="1" applyBorder="1" applyAlignment="1">
      <alignment vertical="center"/>
    </xf>
    <xf numFmtId="166" fontId="34" fillId="0" borderId="52" xfId="0" applyNumberFormat="1" applyFont="1" applyFill="1" applyBorder="1" applyAlignment="1">
      <alignment vertical="center"/>
    </xf>
    <xf numFmtId="166" fontId="34" fillId="0" borderId="46" xfId="0" applyNumberFormat="1" applyFont="1" applyFill="1" applyBorder="1" applyAlignment="1">
      <alignment vertical="center"/>
    </xf>
    <xf numFmtId="166" fontId="34" fillId="0" borderId="1" xfId="0" applyNumberFormat="1" applyFont="1" applyFill="1" applyBorder="1" applyAlignment="1">
      <alignment vertical="center"/>
    </xf>
    <xf numFmtId="166" fontId="34" fillId="0" borderId="49" xfId="0" applyNumberFormat="1" applyFont="1" applyFill="1" applyBorder="1" applyAlignment="1">
      <alignment vertical="center"/>
    </xf>
    <xf numFmtId="165" fontId="34" fillId="0" borderId="4" xfId="0" applyNumberFormat="1" applyFont="1" applyFill="1" applyBorder="1" applyAlignment="1">
      <alignment vertical="center"/>
    </xf>
    <xf numFmtId="165" fontId="34" fillId="0" borderId="52" xfId="0" applyNumberFormat="1" applyFont="1" applyFill="1" applyBorder="1" applyAlignment="1">
      <alignment vertical="center"/>
    </xf>
    <xf numFmtId="165" fontId="34" fillId="0" borderId="0" xfId="0" applyNumberFormat="1" applyFont="1" applyFill="1" applyBorder="1" applyAlignment="1">
      <alignment vertical="center"/>
    </xf>
    <xf numFmtId="165" fontId="34" fillId="0" borderId="3" xfId="0" applyNumberFormat="1" applyFont="1" applyFill="1" applyBorder="1" applyAlignment="1">
      <alignment vertical="center"/>
    </xf>
    <xf numFmtId="165" fontId="34" fillId="0" borderId="12" xfId="0" applyNumberFormat="1" applyFont="1" applyFill="1" applyBorder="1" applyAlignment="1">
      <alignment vertical="center"/>
    </xf>
    <xf numFmtId="165" fontId="34" fillId="0" borderId="8" xfId="0" applyNumberFormat="1" applyFont="1" applyFill="1" applyBorder="1" applyAlignment="1">
      <alignment vertical="center"/>
    </xf>
    <xf numFmtId="165" fontId="34" fillId="0" borderId="58" xfId="0" applyNumberFormat="1" applyFont="1" applyFill="1" applyBorder="1" applyAlignment="1">
      <alignment vertical="center"/>
    </xf>
    <xf numFmtId="178" fontId="34" fillId="23" borderId="1" xfId="0" applyNumberFormat="1" applyFont="1" applyFill="1" applyBorder="1" applyAlignment="1">
      <alignment vertical="center"/>
    </xf>
    <xf numFmtId="166" fontId="34" fillId="23" borderId="46" xfId="0" applyNumberFormat="1" applyFont="1" applyFill="1" applyBorder="1" applyAlignment="1">
      <alignment vertical="center"/>
    </xf>
    <xf numFmtId="165" fontId="34" fillId="23" borderId="55" xfId="0" applyNumberFormat="1" applyFont="1" applyFill="1" applyBorder="1" applyAlignment="1">
      <alignment vertical="center"/>
    </xf>
    <xf numFmtId="165" fontId="34" fillId="23" borderId="3" xfId="0" applyNumberFormat="1" applyFont="1" applyFill="1" applyBorder="1" applyAlignment="1">
      <alignment vertical="center"/>
    </xf>
    <xf numFmtId="165" fontId="34" fillId="23" borderId="57" xfId="0" applyNumberFormat="1" applyFont="1" applyFill="1" applyBorder="1" applyAlignment="1">
      <alignment vertical="center"/>
    </xf>
    <xf numFmtId="9" fontId="24" fillId="23" borderId="8" xfId="0" applyNumberFormat="1" applyFont="1" applyFill="1" applyBorder="1"/>
    <xf numFmtId="174" fontId="24" fillId="23" borderId="1" xfId="0" applyNumberFormat="1" applyFont="1" applyFill="1" applyBorder="1" applyAlignment="1">
      <alignment horizontal="center"/>
    </xf>
    <xf numFmtId="169" fontId="39" fillId="0" borderId="1" xfId="0" applyNumberFormat="1" applyFont="1" applyFill="1" applyBorder="1" applyAlignment="1">
      <alignment horizontal="center" vertical="center"/>
    </xf>
    <xf numFmtId="169" fontId="39" fillId="23" borderId="1" xfId="0" applyNumberFormat="1" applyFont="1" applyFill="1" applyBorder="1" applyAlignment="1">
      <alignment horizontal="center" vertical="center"/>
    </xf>
    <xf numFmtId="165" fontId="24" fillId="23" borderId="1" xfId="0" applyNumberFormat="1" applyFont="1" applyFill="1" applyBorder="1" applyAlignment="1">
      <alignment horizontal="center" vertical="center"/>
    </xf>
    <xf numFmtId="10" fontId="27" fillId="0" borderId="1" xfId="0" applyNumberFormat="1" applyFont="1" applyBorder="1"/>
    <xf numFmtId="10" fontId="24" fillId="0" borderId="1" xfId="0" applyNumberFormat="1" applyFont="1" applyFill="1" applyBorder="1"/>
    <xf numFmtId="10" fontId="24" fillId="23" borderId="1" xfId="0" applyNumberFormat="1" applyFont="1" applyFill="1" applyBorder="1"/>
    <xf numFmtId="1" fontId="29" fillId="23" borderId="1" xfId="0" applyNumberFormat="1" applyFont="1" applyFill="1" applyBorder="1" applyAlignment="1">
      <alignment horizontal="center" vertical="center"/>
    </xf>
    <xf numFmtId="14" fontId="39" fillId="4" borderId="1" xfId="0" applyNumberFormat="1" applyFont="1" applyFill="1" applyBorder="1" applyAlignment="1">
      <alignment vertical="center"/>
    </xf>
    <xf numFmtId="165" fontId="59" fillId="0" borderId="0" xfId="0" applyNumberFormat="1" applyFont="1" applyAlignment="1">
      <alignment horizontal="center"/>
    </xf>
    <xf numFmtId="0" fontId="24" fillId="0" borderId="1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165" fontId="34" fillId="0" borderId="0" xfId="0" applyNumberFormat="1" applyFont="1" applyBorder="1" applyAlignment="1">
      <alignment vertical="center"/>
    </xf>
    <xf numFmtId="166" fontId="30" fillId="0" borderId="1" xfId="0" applyNumberFormat="1" applyFont="1" applyBorder="1"/>
    <xf numFmtId="179" fontId="24" fillId="0" borderId="1" xfId="0" applyNumberFormat="1" applyFont="1" applyBorder="1"/>
    <xf numFmtId="166" fontId="24" fillId="0" borderId="1" xfId="0" applyNumberFormat="1" applyFont="1" applyBorder="1"/>
    <xf numFmtId="166" fontId="0" fillId="0" borderId="0" xfId="0" applyNumberFormat="1"/>
    <xf numFmtId="0" fontId="24" fillId="0" borderId="0" xfId="0" applyFont="1" applyFill="1"/>
    <xf numFmtId="0" fontId="0" fillId="0" borderId="0" xfId="0" applyFill="1"/>
    <xf numFmtId="165" fontId="0" fillId="0" borderId="0" xfId="0" applyNumberFormat="1"/>
    <xf numFmtId="49" fontId="102" fillId="0" borderId="27" xfId="0" applyNumberFormat="1" applyFont="1" applyBorder="1" applyAlignment="1">
      <alignment vertical="center" wrapText="1"/>
    </xf>
    <xf numFmtId="166" fontId="101" fillId="0" borderId="27" xfId="0" applyNumberFormat="1" applyFont="1" applyBorder="1" applyAlignment="1">
      <alignment horizontal="center" vertical="center" wrapText="1"/>
    </xf>
    <xf numFmtId="166" fontId="116" fillId="0" borderId="27" xfId="3" applyNumberFormat="1" applyFont="1" applyBorder="1" applyAlignment="1">
      <alignment horizontal="center" vertical="center" wrapText="1"/>
    </xf>
    <xf numFmtId="49" fontId="24" fillId="0" borderId="27" xfId="8" applyNumberFormat="1" applyFont="1" applyBorder="1"/>
    <xf numFmtId="0" fontId="72" fillId="0" borderId="27" xfId="8" applyFont="1" applyBorder="1" applyAlignment="1">
      <alignment horizontal="right" vertical="center" wrapText="1"/>
    </xf>
    <xf numFmtId="0" fontId="72" fillId="0" borderId="27" xfId="8" applyFont="1" applyBorder="1" applyAlignment="1">
      <alignment vertical="center" wrapText="1"/>
    </xf>
    <xf numFmtId="49" fontId="72" fillId="0" borderId="18" xfId="8" applyNumberFormat="1" applyFont="1" applyBorder="1" applyAlignment="1">
      <alignment horizontal="center" vertical="center"/>
    </xf>
    <xf numFmtId="49" fontId="27" fillId="0" borderId="0" xfId="8" applyNumberFormat="1" applyFont="1"/>
    <xf numFmtId="49" fontId="24" fillId="0" borderId="0" xfId="8" applyNumberFormat="1" applyFont="1"/>
    <xf numFmtId="49" fontId="20" fillId="0" borderId="0" xfId="8" applyNumberFormat="1" applyFont="1"/>
    <xf numFmtId="49" fontId="0" fillId="0" borderId="0" xfId="8" applyNumberFormat="1" applyFont="1"/>
    <xf numFmtId="49" fontId="1" fillId="0" borderId="0" xfId="8" applyNumberFormat="1" applyFont="1"/>
    <xf numFmtId="0" fontId="30" fillId="0" borderId="0" xfId="8" applyFont="1"/>
    <xf numFmtId="49" fontId="75" fillId="0" borderId="15" xfId="8" applyNumberFormat="1" applyFont="1" applyBorder="1" applyAlignment="1">
      <alignment horizontal="center" vertical="center"/>
    </xf>
    <xf numFmtId="49" fontId="30" fillId="0" borderId="18" xfId="8" applyNumberFormat="1" applyFont="1" applyBorder="1" applyAlignment="1">
      <alignment horizontal="center" vertical="center"/>
    </xf>
    <xf numFmtId="49" fontId="73" fillId="0" borderId="15" xfId="8" applyNumberFormat="1" applyFont="1" applyBorder="1" applyAlignment="1">
      <alignment vertical="center"/>
    </xf>
    <xf numFmtId="49" fontId="76" fillId="0" borderId="18" xfId="8" applyNumberFormat="1" applyFont="1" applyBorder="1" applyAlignment="1">
      <alignment vertical="center"/>
    </xf>
    <xf numFmtId="49" fontId="73" fillId="0" borderId="15" xfId="8" applyNumberFormat="1" applyFont="1" applyBorder="1" applyAlignment="1">
      <alignment horizontal="center" vertical="center"/>
    </xf>
    <xf numFmtId="49" fontId="76" fillId="0" borderId="15" xfId="8" applyNumberFormat="1" applyFont="1" applyBorder="1" applyAlignment="1">
      <alignment horizontal="center" vertical="center"/>
    </xf>
    <xf numFmtId="49" fontId="76" fillId="0" borderId="18" xfId="8" applyNumberFormat="1" applyFont="1" applyBorder="1" applyAlignment="1">
      <alignment horizontal="center" vertical="center"/>
    </xf>
    <xf numFmtId="49" fontId="27" fillId="0" borderId="0" xfId="8" applyNumberFormat="1" applyFont="1" applyFill="1"/>
    <xf numFmtId="3" fontId="24" fillId="0" borderId="0" xfId="8" applyNumberFormat="1" applyFont="1"/>
    <xf numFmtId="49" fontId="24" fillId="0" borderId="60" xfId="8" applyNumberFormat="1" applyFont="1" applyBorder="1"/>
    <xf numFmtId="0" fontId="24" fillId="0" borderId="27" xfId="8" applyFont="1" applyBorder="1"/>
    <xf numFmtId="0" fontId="72" fillId="0" borderId="27" xfId="8" applyFont="1" applyBorder="1" applyAlignment="1">
      <alignment horizontal="center" vertical="center" wrapText="1"/>
    </xf>
    <xf numFmtId="3" fontId="72" fillId="0" borderId="27" xfId="8" applyNumberFormat="1" applyFont="1" applyBorder="1" applyAlignment="1">
      <alignment horizontal="center" vertical="center"/>
    </xf>
    <xf numFmtId="10" fontId="72" fillId="0" borderId="27" xfId="8" applyNumberFormat="1" applyFont="1" applyBorder="1" applyAlignment="1">
      <alignment horizontal="center" vertical="center"/>
    </xf>
    <xf numFmtId="0" fontId="74" fillId="0" borderId="27" xfId="8" applyFont="1" applyBorder="1" applyAlignment="1">
      <alignment horizontal="right" vertical="center" wrapText="1"/>
    </xf>
    <xf numFmtId="166" fontId="74" fillId="0" borderId="15" xfId="0" applyNumberFormat="1" applyFont="1" applyBorder="1" applyAlignment="1">
      <alignment horizontal="right" vertical="center"/>
    </xf>
    <xf numFmtId="166" fontId="72" fillId="0" borderId="15" xfId="0" applyNumberFormat="1" applyFont="1" applyBorder="1" applyAlignment="1">
      <alignment horizontal="right" vertical="center" wrapText="1"/>
    </xf>
    <xf numFmtId="166" fontId="32" fillId="0" borderId="15" xfId="0" applyNumberFormat="1" applyFont="1" applyBorder="1" applyAlignment="1">
      <alignment horizontal="right" vertical="center"/>
    </xf>
    <xf numFmtId="166" fontId="26" fillId="0" borderId="15" xfId="0" applyNumberFormat="1" applyFont="1" applyBorder="1" applyAlignment="1">
      <alignment horizontal="right" vertical="center"/>
    </xf>
    <xf numFmtId="166" fontId="72" fillId="0" borderId="15" xfId="0" applyNumberFormat="1" applyFont="1" applyBorder="1" applyAlignment="1">
      <alignment horizontal="right" vertical="center"/>
    </xf>
    <xf numFmtId="4" fontId="72" fillId="0" borderId="17" xfId="8" applyNumberFormat="1" applyFont="1" applyBorder="1" applyAlignment="1">
      <alignment horizontal="center" vertical="center"/>
    </xf>
    <xf numFmtId="4" fontId="74" fillId="0" borderId="17" xfId="8" applyNumberFormat="1" applyFont="1" applyBorder="1" applyAlignment="1">
      <alignment horizontal="center" vertical="center"/>
    </xf>
    <xf numFmtId="4" fontId="30" fillId="0" borderId="17" xfId="8" applyNumberFormat="1" applyFont="1" applyBorder="1" applyAlignment="1">
      <alignment horizontal="center" vertical="center"/>
    </xf>
    <xf numFmtId="4" fontId="75" fillId="0" borderId="17" xfId="8" applyNumberFormat="1" applyFont="1" applyBorder="1" applyAlignment="1">
      <alignment horizontal="center" vertical="center" wrapText="1"/>
    </xf>
    <xf numFmtId="4" fontId="75" fillId="0" borderId="17" xfId="8" applyNumberFormat="1" applyFont="1" applyBorder="1" applyAlignment="1">
      <alignment horizontal="center" vertical="center"/>
    </xf>
    <xf numFmtId="2" fontId="76" fillId="0" borderId="17" xfId="8" applyNumberFormat="1" applyFont="1" applyBorder="1" applyAlignment="1">
      <alignment horizontal="center" vertical="center"/>
    </xf>
    <xf numFmtId="2" fontId="73" fillId="0" borderId="17" xfId="8" applyNumberFormat="1" applyFont="1" applyBorder="1" applyAlignment="1">
      <alignment horizontal="center" vertical="center" wrapText="1"/>
    </xf>
    <xf numFmtId="2" fontId="24" fillId="0" borderId="0" xfId="8" applyNumberFormat="1" applyFont="1"/>
    <xf numFmtId="10" fontId="72" fillId="0" borderId="17" xfId="8" applyNumberFormat="1" applyFont="1" applyBorder="1" applyAlignment="1">
      <alignment horizontal="center" vertical="center"/>
    </xf>
    <xf numFmtId="4" fontId="72" fillId="0" borderId="17" xfId="8" applyNumberFormat="1" applyFont="1" applyBorder="1" applyAlignment="1">
      <alignment horizontal="center" vertical="center" wrapText="1"/>
    </xf>
    <xf numFmtId="4" fontId="74" fillId="0" borderId="17" xfId="8" applyNumberFormat="1" applyFont="1" applyBorder="1" applyAlignment="1">
      <alignment horizontal="center" vertical="center" wrapText="1"/>
    </xf>
    <xf numFmtId="166" fontId="32" fillId="0" borderId="22" xfId="8" applyNumberFormat="1" applyFont="1" applyBorder="1" applyAlignment="1">
      <alignment horizontal="right" vertical="center"/>
    </xf>
    <xf numFmtId="166" fontId="73" fillId="0" borderId="17" xfId="8" applyNumberFormat="1" applyFont="1" applyBorder="1" applyAlignment="1">
      <alignment horizontal="right" vertical="center" wrapText="1"/>
    </xf>
    <xf numFmtId="4" fontId="72" fillId="0" borderId="1" xfId="0" applyNumberFormat="1" applyFont="1" applyBorder="1" applyAlignment="1">
      <alignment horizontal="center" vertical="center" wrapText="1"/>
    </xf>
    <xf numFmtId="4" fontId="74" fillId="0" borderId="1" xfId="0" applyNumberFormat="1" applyFont="1" applyBorder="1" applyAlignment="1">
      <alignment horizontal="center" vertical="center" wrapText="1"/>
    </xf>
    <xf numFmtId="4" fontId="24" fillId="0" borderId="0" xfId="8" applyNumberFormat="1" applyFont="1"/>
    <xf numFmtId="4" fontId="24" fillId="3" borderId="0" xfId="8" applyNumberFormat="1" applyFont="1" applyFill="1"/>
    <xf numFmtId="4" fontId="72" fillId="0" borderId="1" xfId="0" applyNumberFormat="1" applyFont="1" applyBorder="1" applyAlignment="1">
      <alignment horizontal="center" vertical="center"/>
    </xf>
    <xf numFmtId="2" fontId="24" fillId="0" borderId="3" xfId="0" applyNumberFormat="1" applyFont="1" applyBorder="1" applyAlignment="1">
      <alignment horizontal="center" vertical="center"/>
    </xf>
    <xf numFmtId="0" fontId="96" fillId="0" borderId="0" xfId="0" applyFont="1" applyAlignment="1">
      <alignment horizontal="center" vertical="center"/>
    </xf>
    <xf numFmtId="3" fontId="72" fillId="0" borderId="27" xfId="8" applyNumberFormat="1" applyFont="1" applyFill="1" applyBorder="1" applyAlignment="1">
      <alignment horizontal="center" vertical="center"/>
    </xf>
    <xf numFmtId="49" fontId="32" fillId="0" borderId="27" xfId="8" applyNumberFormat="1" applyFont="1" applyFill="1" applyBorder="1" applyAlignment="1">
      <alignment horizontal="center" vertical="center"/>
    </xf>
    <xf numFmtId="10" fontId="24" fillId="23" borderId="8" xfId="0" applyNumberFormat="1" applyFont="1" applyFill="1" applyBorder="1"/>
    <xf numFmtId="4" fontId="32" fillId="0" borderId="27" xfId="8" applyNumberFormat="1" applyFont="1" applyBorder="1" applyAlignment="1">
      <alignment horizontal="center" vertical="center"/>
    </xf>
    <xf numFmtId="4" fontId="72" fillId="0" borderId="27" xfId="8" applyNumberFormat="1" applyFont="1" applyBorder="1" applyAlignment="1">
      <alignment horizontal="center" vertical="center"/>
    </xf>
    <xf numFmtId="0" fontId="115" fillId="0" borderId="0" xfId="0" applyFont="1" applyAlignment="1">
      <alignment horizontal="left" vertical="center" wrapText="1"/>
    </xf>
    <xf numFmtId="0" fontId="100" fillId="0" borderId="27" xfId="0" applyFont="1" applyBorder="1" applyAlignment="1">
      <alignment horizontal="center" vertical="center" wrapText="1"/>
    </xf>
    <xf numFmtId="0" fontId="80" fillId="0" borderId="27" xfId="0" applyFont="1" applyBorder="1" applyAlignment="1">
      <alignment horizontal="center" vertical="center" wrapText="1"/>
    </xf>
    <xf numFmtId="0" fontId="80" fillId="0" borderId="27" xfId="0" applyFont="1" applyBorder="1" applyAlignment="1">
      <alignment vertical="center" wrapText="1"/>
    </xf>
    <xf numFmtId="14" fontId="10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0" fillId="0" borderId="38" xfId="0" applyFont="1" applyBorder="1" applyAlignment="1">
      <alignment vertical="center" wrapText="1"/>
    </xf>
    <xf numFmtId="0" fontId="80" fillId="0" borderId="39" xfId="0" applyFont="1" applyBorder="1" applyAlignment="1">
      <alignment vertical="center" wrapText="1"/>
    </xf>
    <xf numFmtId="0" fontId="80" fillId="0" borderId="40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24" fillId="0" borderId="41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166" fontId="101" fillId="0" borderId="27" xfId="0" applyNumberFormat="1" applyFont="1" applyBorder="1" applyAlignment="1">
      <alignment horizontal="center" vertical="center" wrapText="1"/>
    </xf>
    <xf numFmtId="166" fontId="80" fillId="0" borderId="27" xfId="0" applyNumberFormat="1" applyFont="1" applyBorder="1" applyAlignment="1">
      <alignment vertical="center" wrapText="1"/>
    </xf>
    <xf numFmtId="0" fontId="3" fillId="0" borderId="27" xfId="3" applyBorder="1" applyAlignment="1">
      <alignment horizontal="center" vertical="center" wrapText="1"/>
    </xf>
    <xf numFmtId="0" fontId="3" fillId="0" borderId="27" xfId="3" applyFill="1" applyBorder="1" applyAlignment="1">
      <alignment horizontal="center" vertical="center" wrapText="1"/>
    </xf>
    <xf numFmtId="0" fontId="80" fillId="0" borderId="27" xfId="0" applyFont="1" applyFill="1" applyBorder="1" applyAlignment="1">
      <alignment horizontal="center" vertical="center" wrapText="1"/>
    </xf>
    <xf numFmtId="0" fontId="80" fillId="0" borderId="27" xfId="0" applyFont="1" applyBorder="1" applyAlignment="1">
      <alignment horizontal="left" vertical="center" wrapText="1"/>
    </xf>
    <xf numFmtId="0" fontId="80" fillId="2" borderId="27" xfId="0" applyFont="1" applyFill="1" applyBorder="1" applyAlignment="1">
      <alignment vertical="center" wrapText="1"/>
    </xf>
    <xf numFmtId="0" fontId="99" fillId="0" borderId="27" xfId="0" applyFont="1" applyFill="1" applyBorder="1" applyAlignment="1">
      <alignment vertical="center" wrapText="1"/>
    </xf>
    <xf numFmtId="166" fontId="116" fillId="0" borderId="43" xfId="3" applyNumberFormat="1" applyFont="1" applyBorder="1" applyAlignment="1">
      <alignment horizontal="center" vertical="center" wrapText="1"/>
    </xf>
    <xf numFmtId="166" fontId="116" fillId="0" borderId="44" xfId="3" applyNumberFormat="1" applyFont="1" applyBorder="1" applyAlignment="1">
      <alignment horizontal="center" vertical="center" wrapText="1"/>
    </xf>
    <xf numFmtId="165" fontId="80" fillId="0" borderId="27" xfId="0" applyNumberFormat="1" applyFont="1" applyBorder="1" applyAlignment="1">
      <alignment vertical="center" wrapText="1"/>
    </xf>
    <xf numFmtId="0" fontId="108" fillId="0" borderId="27" xfId="0" applyFont="1" applyBorder="1" applyAlignment="1">
      <alignment horizontal="left" vertical="center" wrapText="1"/>
    </xf>
    <xf numFmtId="0" fontId="108" fillId="0" borderId="27" xfId="0" applyFont="1" applyBorder="1" applyAlignment="1">
      <alignment horizontal="left" vertical="center"/>
    </xf>
    <xf numFmtId="166" fontId="107" fillId="0" borderId="43" xfId="0" applyNumberFormat="1" applyFont="1" applyBorder="1" applyAlignment="1">
      <alignment horizontal="center" vertical="center" wrapText="1"/>
    </xf>
    <xf numFmtId="166" fontId="107" fillId="0" borderId="44" xfId="0" applyNumberFormat="1" applyFont="1" applyBorder="1" applyAlignment="1">
      <alignment horizontal="center" vertical="center" wrapText="1"/>
    </xf>
    <xf numFmtId="165" fontId="116" fillId="0" borderId="43" xfId="3" applyNumberFormat="1" applyFont="1" applyBorder="1" applyAlignment="1">
      <alignment horizontal="center" vertical="center" wrapText="1"/>
    </xf>
    <xf numFmtId="165" fontId="116" fillId="0" borderId="44" xfId="3" applyNumberFormat="1" applyFont="1" applyBorder="1" applyAlignment="1">
      <alignment horizontal="center" vertical="center" wrapText="1"/>
    </xf>
    <xf numFmtId="165" fontId="101" fillId="0" borderId="27" xfId="0" applyNumberFormat="1" applyFont="1" applyBorder="1" applyAlignment="1">
      <alignment horizontal="center" vertical="center" wrapText="1"/>
    </xf>
    <xf numFmtId="0" fontId="99" fillId="0" borderId="27" xfId="0" applyFont="1" applyBorder="1" applyAlignment="1">
      <alignment vertical="center" wrapText="1"/>
    </xf>
    <xf numFmtId="166" fontId="3" fillId="0" borderId="27" xfId="3" applyNumberFormat="1" applyBorder="1" applyAlignment="1">
      <alignment horizontal="center" vertical="center" wrapText="1"/>
    </xf>
    <xf numFmtId="0" fontId="99" fillId="0" borderId="43" xfId="0" applyFont="1" applyBorder="1" applyAlignment="1">
      <alignment vertical="center" wrapText="1"/>
    </xf>
    <xf numFmtId="0" fontId="99" fillId="0" borderId="44" xfId="0" applyFont="1" applyBorder="1" applyAlignment="1">
      <alignment vertical="center" wrapText="1"/>
    </xf>
    <xf numFmtId="177" fontId="117" fillId="0" borderId="27" xfId="0" applyNumberFormat="1" applyFont="1" applyBorder="1" applyAlignment="1">
      <alignment horizontal="left" vertical="center" wrapText="1"/>
    </xf>
    <xf numFmtId="0" fontId="117" fillId="0" borderId="43" xfId="0" applyFont="1" applyBorder="1" applyAlignment="1">
      <alignment horizontal="left" vertical="center" wrapText="1"/>
    </xf>
    <xf numFmtId="0" fontId="117" fillId="0" borderId="44" xfId="0" applyFont="1" applyBorder="1" applyAlignment="1">
      <alignment horizontal="left" vertical="center" wrapText="1"/>
    </xf>
    <xf numFmtId="9" fontId="117" fillId="0" borderId="43" xfId="0" applyNumberFormat="1" applyFont="1" applyBorder="1" applyAlignment="1">
      <alignment horizontal="left" vertical="center" wrapText="1"/>
    </xf>
    <xf numFmtId="49" fontId="117" fillId="0" borderId="27" xfId="0" applyNumberFormat="1" applyFont="1" applyBorder="1" applyAlignment="1">
      <alignment vertical="center" wrapText="1"/>
    </xf>
    <xf numFmtId="0" fontId="119" fillId="0" borderId="43" xfId="0" applyFont="1" applyBorder="1" applyAlignment="1">
      <alignment horizontal="left" vertical="center" wrapText="1"/>
    </xf>
    <xf numFmtId="0" fontId="119" fillId="0" borderId="44" xfId="0" applyFont="1" applyBorder="1" applyAlignment="1">
      <alignment horizontal="left" vertical="center" wrapText="1"/>
    </xf>
    <xf numFmtId="49" fontId="117" fillId="0" borderId="27" xfId="0" applyNumberFormat="1" applyFont="1" applyBorder="1" applyAlignment="1">
      <alignment horizontal="left" vertical="center" wrapText="1"/>
    </xf>
    <xf numFmtId="49" fontId="117" fillId="0" borderId="27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117" fillId="0" borderId="27" xfId="0" applyFont="1" applyBorder="1" applyAlignment="1">
      <alignment horizontal="left" vertical="center" wrapText="1"/>
    </xf>
    <xf numFmtId="49" fontId="118" fillId="0" borderId="27" xfId="3" applyNumberFormat="1" applyFont="1" applyBorder="1" applyAlignment="1">
      <alignment vertical="center" wrapText="1"/>
    </xf>
    <xf numFmtId="0" fontId="9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0" fillId="0" borderId="0" xfId="0" applyFont="1" applyAlignment="1">
      <alignment horizontal="center" vertical="center" wrapText="1"/>
    </xf>
    <xf numFmtId="0" fontId="106" fillId="0" borderId="0" xfId="0" applyFont="1" applyAlignment="1">
      <alignment horizontal="center" vertical="center" wrapText="1"/>
    </xf>
    <xf numFmtId="1" fontId="12" fillId="6" borderId="9" xfId="0" applyNumberFormat="1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" fontId="12" fillId="25" borderId="9" xfId="0" applyNumberFormat="1" applyFont="1" applyFill="1" applyBorder="1" applyAlignment="1">
      <alignment horizontal="left" wrapText="1"/>
    </xf>
    <xf numFmtId="0" fontId="17" fillId="25" borderId="10" xfId="0" applyFont="1" applyFill="1" applyBorder="1" applyAlignment="1">
      <alignment horizontal="left"/>
    </xf>
    <xf numFmtId="0" fontId="17" fillId="25" borderId="6" xfId="0" applyFont="1" applyFill="1" applyBorder="1" applyAlignment="1">
      <alignment horizontal="left"/>
    </xf>
    <xf numFmtId="1" fontId="12" fillId="6" borderId="9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72" fillId="0" borderId="27" xfId="8" applyNumberFormat="1" applyFont="1" applyBorder="1" applyAlignment="1">
      <alignment horizontal="center" vertical="center"/>
    </xf>
    <xf numFmtId="165" fontId="5" fillId="11" borderId="9" xfId="0" applyNumberFormat="1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" fontId="12" fillId="6" borderId="9" xfId="0" applyNumberFormat="1" applyFont="1" applyFill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0" fillId="0" borderId="6" xfId="0" applyBorder="1"/>
    <xf numFmtId="165" fontId="24" fillId="23" borderId="1" xfId="0" applyNumberFormat="1" applyFont="1" applyFill="1" applyBorder="1"/>
  </cellXfs>
  <cellStyles count="13">
    <cellStyle name="Checks 2" xfId="6"/>
    <cellStyle name="Formula" xfId="4"/>
    <cellStyle name="Integration_Input" xfId="5"/>
    <cellStyle name="Normal" xfId="1"/>
    <cellStyle name="Normal 7 2" xfId="2"/>
    <cellStyle name="Гиперссылка" xfId="3" builtinId="8"/>
    <cellStyle name="Обычный" xfId="0" builtinId="0"/>
    <cellStyle name="Обычный 2" xfId="7"/>
    <cellStyle name="Обычный 2 2 2" xfId="11"/>
    <cellStyle name="Обычный 3" xfId="8"/>
    <cellStyle name="Обычный 3 12" xfId="12"/>
    <cellStyle name="Процентный" xfId="10" builtinId="5"/>
    <cellStyle name="Финансовый" xfId="9" builtinId="3"/>
  </cellStyles>
  <dxfs count="12">
    <dxf>
      <font>
        <strike val="0"/>
        <color rgb="FFFF0000"/>
      </font>
      <numFmt numFmtId="30" formatCode="@"/>
      <fill>
        <patternFill>
          <bgColor rgb="FFF6F6F8"/>
        </patternFill>
      </fill>
    </dxf>
    <dxf>
      <fill>
        <patternFill patternType="gray125">
          <bgColor theme="9" tint="0.59996337778862885"/>
        </patternFill>
      </fill>
    </dxf>
    <dxf>
      <fill>
        <patternFill patternType="gray125">
          <bgColor theme="5"/>
        </patternFill>
      </fill>
    </dxf>
    <dxf>
      <fill>
        <patternFill patternType="lightGray">
          <bgColor theme="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00000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/>
  </tableStyles>
  <colors>
    <mruColors>
      <color rgb="FFEC004F"/>
      <color rgb="FFA3A3A3"/>
      <color rgb="FF1C1C1C"/>
      <color rgb="FFF6F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КПЭ!$B$34</c:f>
          <c:strCache>
            <c:ptCount val="1"/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КПЭ!$B$32</c:f>
              <c:strCache>
                <c:ptCount val="1"/>
                <c:pt idx="0">
                  <c:v>Свободный денежный поток</c:v>
                </c:pt>
              </c:strCache>
            </c:strRef>
          </c:tx>
          <c:spPr>
            <a:ln w="28575" cap="rnd">
              <a:solidFill>
                <a:srgbClr val="1C1C1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C1C1C"/>
              </a:solidFill>
              <a:ln w="9525"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2.6251711543050133E-2"/>
                  <c:y val="-4.7919139566702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78D-427D-B428-6CDA98B4B63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КПЭ!$F$3:$O$3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КПЭ!$F$33:$O$33</c:f>
              <c:numCache>
                <c:formatCode>#\ ##0_ ;[Red]\-#\ ##0\ </c:formatCode>
                <c:ptCount val="10"/>
                <c:pt idx="0">
                  <c:v>2472.3559999999998</c:v>
                </c:pt>
                <c:pt idx="1">
                  <c:v>8365.6039360000141</c:v>
                </c:pt>
                <c:pt idx="2">
                  <c:v>18966.899356416063</c:v>
                </c:pt>
                <c:pt idx="3">
                  <c:v>35701.433144375405</c:v>
                </c:pt>
                <c:pt idx="4">
                  <c:v>55697.564788620439</c:v>
                </c:pt>
                <c:pt idx="5">
                  <c:v>75710.116005493604</c:v>
                </c:pt>
                <c:pt idx="6">
                  <c:v>95695.87173908409</c:v>
                </c:pt>
                <c:pt idx="7">
                  <c:v>115607.43150827095</c:v>
                </c:pt>
                <c:pt idx="8">
                  <c:v>135392.90440762817</c:v>
                </c:pt>
                <c:pt idx="9">
                  <c:v>154995.58420376919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E1F-4EB1-A837-2C0F47BE19E4}"/>
            </c:ext>
          </c:extLst>
        </c:ser>
        <c:ser>
          <c:idx val="1"/>
          <c:order val="1"/>
          <c:tx>
            <c:strRef>
              <c:f>КПЭ!$B$6</c:f>
              <c:strCache>
                <c:ptCount val="1"/>
                <c:pt idx="0">
                  <c:v>#ДЕЛ/0!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C004F"/>
              </a:solidFill>
              <a:ln w="9525">
                <a:noFill/>
              </a:ln>
              <a:effectLst/>
            </c:spPr>
          </c:marker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КПЭ!$F$3:$O$3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КПЭ!$F$6:$O$6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E1F-4EB1-A837-2C0F47BE1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50552"/>
        <c:axId val="205752512"/>
      </c:lineChart>
      <c:catAx>
        <c:axId val="205750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05752512"/>
        <c:crosses val="autoZero"/>
        <c:auto val="1"/>
        <c:lblAlgn val="ctr"/>
        <c:lblOffset val="100"/>
        <c:noMultiLvlLbl val="0"/>
      </c:catAx>
      <c:valAx>
        <c:axId val="2057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0575055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Внебюджетное финансирование (млн.руб.)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30186771897118E-2"/>
          <c:y val="0.19037569608549801"/>
          <c:w val="0.91570144509198548"/>
          <c:h val="0.59429506421778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ИтогТаблицы!$B$35</c:f>
              <c:strCache>
                <c:ptCount val="1"/>
                <c:pt idx="0">
                  <c:v>    - собственные средства резидентов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ИтогТаблицы!$C$28:$M$28</c:f>
              <c:strCach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Итого</c:v>
                </c:pt>
              </c:strCache>
            </c:strRef>
          </c:cat>
          <c:val>
            <c:numRef>
              <c:f>ИтогТаблицы!$C$35:$L$35</c:f>
              <c:numCache>
                <c:formatCode>#\ ##0.00_ ;[Red]\-#\ ##0.00\ </c:formatCode>
                <c:ptCount val="10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90-4AC9-8B7C-3D77175ADBEF}"/>
            </c:ext>
          </c:extLst>
        </c:ser>
        <c:ser>
          <c:idx val="1"/>
          <c:order val="1"/>
          <c:tx>
            <c:strRef>
              <c:f>ИтогТаблицы!$B$36</c:f>
              <c:strCache>
                <c:ptCount val="1"/>
                <c:pt idx="0">
                  <c:v>    - заемные средства резидентов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ИтогТаблицы!$C$28:$M$28</c:f>
              <c:strCach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Итого</c:v>
                </c:pt>
              </c:strCache>
            </c:strRef>
          </c:cat>
          <c:val>
            <c:numRef>
              <c:f>ИтогТаблицы!$C$36:$L$36</c:f>
              <c:numCache>
                <c:formatCode>#\ ##0.00_ ;[Red]\-#\ 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90-4AC9-8B7C-3D77175ADBEF}"/>
            </c:ext>
          </c:extLst>
        </c:ser>
        <c:ser>
          <c:idx val="2"/>
          <c:order val="2"/>
          <c:tx>
            <c:strRef>
              <c:f>ИтогТаблицы!$B$37</c:f>
              <c:strCache>
                <c:ptCount val="1"/>
                <c:pt idx="0">
                  <c:v>    - денежный поток от операционной деятельности</c:v>
                </c:pt>
              </c:strCache>
            </c:strRef>
          </c:tx>
          <c:spPr>
            <a:solidFill>
              <a:srgbClr val="1C1C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ИтогТаблицы!$C$28:$M$28</c:f>
              <c:strCach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Итого</c:v>
                </c:pt>
              </c:strCache>
            </c:strRef>
          </c:cat>
          <c:val>
            <c:numRef>
              <c:f>ИтогТаблицы!$C$37:$L$37</c:f>
              <c:numCache>
                <c:formatCode>#\ ##0.00_ ;[Red]\-#\ ##0.00\ </c:formatCode>
                <c:ptCount val="10"/>
                <c:pt idx="0">
                  <c:v>2.4700000000000002</c:v>
                </c:pt>
                <c:pt idx="1">
                  <c:v>5.89</c:v>
                </c:pt>
                <c:pt idx="2">
                  <c:v>10.6</c:v>
                </c:pt>
                <c:pt idx="3">
                  <c:v>16.73</c:v>
                </c:pt>
                <c:pt idx="4">
                  <c:v>20</c:v>
                </c:pt>
                <c:pt idx="5">
                  <c:v>20.010000000000002</c:v>
                </c:pt>
                <c:pt idx="6">
                  <c:v>19.989999999999998</c:v>
                </c:pt>
                <c:pt idx="7">
                  <c:v>19.91</c:v>
                </c:pt>
                <c:pt idx="8">
                  <c:v>19.79</c:v>
                </c:pt>
                <c:pt idx="9">
                  <c:v>19.600000000000001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890-4AC9-8B7C-3D77175AD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758000"/>
        <c:axId val="205758392"/>
      </c:barChart>
      <c:catAx>
        <c:axId val="205758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5758392"/>
        <c:crosses val="autoZero"/>
        <c:auto val="1"/>
        <c:lblAlgn val="ctr"/>
        <c:lblOffset val="100"/>
        <c:noMultiLvlLbl val="0"/>
      </c:catAx>
      <c:valAx>
        <c:axId val="20575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_ ;[Red]\-#\ ##0.0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5758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8916688577372469E-2"/>
          <c:y val="0.82456729409403196"/>
          <c:w val="0.91193034086907854"/>
          <c:h val="0.1496263720221530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Финансирование инвестиционного проекта (млн.руб.)</a:t>
            </a:r>
          </a:p>
        </c:rich>
      </c:tx>
      <c:layout>
        <c:manualLayout>
          <c:xMode val="edge"/>
          <c:yMode val="edge"/>
          <c:x val="0.17135443148140519"/>
          <c:y val="2.7777777777777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ИтогТаблицы!$B$46</c:f>
              <c:strCache>
                <c:ptCount val="1"/>
                <c:pt idx="0">
                  <c:v>Оснащение рабочих мест сотрудников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ИтогТаблицы!$C$44:$L$44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ИтогТаблицы!$C$46:$L$46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92-4C30-BBA4-54418464140D}"/>
            </c:ext>
          </c:extLst>
        </c:ser>
        <c:ser>
          <c:idx val="1"/>
          <c:order val="1"/>
          <c:tx>
            <c:strRef>
              <c:f>ИтогТаблицы!$B$47</c:f>
              <c:strCache>
                <c:ptCount val="1"/>
                <c:pt idx="0">
                  <c:v>Инвестиции в операционную деятельность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ИтогТаблицы!$C$44:$L$44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ИтогТаблицы!$C$47:$L$47</c:f>
              <c:numCache>
                <c:formatCode>#,##0</c:formatCode>
                <c:ptCount val="1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92-4C30-BBA4-544184641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753296"/>
        <c:axId val="205754472"/>
      </c:barChart>
      <c:catAx>
        <c:axId val="20575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5754472"/>
        <c:crosses val="autoZero"/>
        <c:auto val="1"/>
        <c:lblAlgn val="ctr"/>
        <c:lblOffset val="100"/>
        <c:noMultiLvlLbl val="0"/>
      </c:catAx>
      <c:valAx>
        <c:axId val="20575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5753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8916688577372469E-2"/>
          <c:y val="0.84766185476815392"/>
          <c:w val="0.91193034086907854"/>
          <c:h val="0.1265317876932050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Финансирование капитальных вложений в инвестиционной фазе по годам (млн.руб.)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ИтогТаблицы!$B$54</c:f>
              <c:strCache>
                <c:ptCount val="1"/>
                <c:pt idx="0">
                  <c:v>Проектирование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ИтогТаблицы!$C$53:$L$53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ИтогТаблицы!$C$54:$L$54</c:f>
              <c:numCache>
                <c:formatCode>#,##0.00</c:formatCode>
                <c:ptCount val="1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DF-4521-9313-1278777FAAD0}"/>
            </c:ext>
          </c:extLst>
        </c:ser>
        <c:ser>
          <c:idx val="1"/>
          <c:order val="1"/>
          <c:tx>
            <c:strRef>
              <c:f>ИтогТаблицы!$B$55</c:f>
              <c:strCache>
                <c:ptCount val="1"/>
                <c:pt idx="0">
                  <c:v>Оснащение рабочих мест сотрудников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ИтогТаблицы!$C$53:$L$53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ИтогТаблицы!$C$55:$L$55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DF-4521-9313-1278777FAAD0}"/>
            </c:ext>
          </c:extLst>
        </c:ser>
        <c:ser>
          <c:idx val="2"/>
          <c:order val="2"/>
          <c:tx>
            <c:strRef>
              <c:f>ИтогТаблицы!$B$56</c:f>
              <c:strCache>
                <c:ptCount val="1"/>
                <c:pt idx="0">
                  <c:v>Коммунальные объекты</c:v>
                </c:pt>
              </c:strCache>
            </c:strRef>
          </c:tx>
          <c:invertIfNegative val="0"/>
          <c:cat>
            <c:numRef>
              <c:f>ИтогТаблицы!$C$53:$L$53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ИтогТаблицы!$C$56:$L$56</c:f>
              <c:numCache>
                <c:formatCode>#,##0.00</c:formatCode>
                <c:ptCount val="1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4DF-4521-9313-1278777FA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764664"/>
        <c:axId val="205638224"/>
      </c:barChart>
      <c:catAx>
        <c:axId val="205764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5638224"/>
        <c:crosses val="autoZero"/>
        <c:auto val="1"/>
        <c:lblAlgn val="ctr"/>
        <c:lblOffset val="100"/>
        <c:noMultiLvlLbl val="0"/>
      </c:catAx>
      <c:valAx>
        <c:axId val="20563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5764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8916688577372469E-2"/>
          <c:y val="0.84766185476815392"/>
          <c:w val="0.91193034086907854"/>
          <c:h val="0.1265317876932050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Рабочие места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ИтогТаблицы!$B$86</c:f>
              <c:strCache>
                <c:ptCount val="1"/>
                <c:pt idx="0">
                  <c:v>Количество создаваемых рабочих мест 
(нарастающим итогом)</c:v>
                </c:pt>
              </c:strCache>
            </c:strRef>
          </c:tx>
          <c:spPr>
            <a:effectLst/>
          </c:spPr>
          <c:dLbls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266-46F5-B223-697753FC3A8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ИтогТаблицы!$C$85:$L$85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ИтогТаблицы!$C$86:$L$86</c:f>
              <c:numCache>
                <c:formatCode>#,##0</c:formatCode>
                <c:ptCount val="1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266-46F5-B223-697753FC3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29600"/>
        <c:axId val="205632344"/>
      </c:lineChart>
      <c:lineChart>
        <c:grouping val="standard"/>
        <c:varyColors val="0"/>
        <c:ser>
          <c:idx val="1"/>
          <c:order val="1"/>
          <c:tx>
            <c:strRef>
              <c:f>ИтогТаблицы!$B$88</c:f>
              <c:strCache>
                <c:ptCount val="1"/>
                <c:pt idx="0">
                  <c:v>Средняя зп тыс.руб.</c:v>
                </c:pt>
              </c:strCache>
            </c:strRef>
          </c:tx>
          <c:spPr>
            <a:ln w="12700">
              <a:solidFill>
                <a:srgbClr val="1C1C1C"/>
              </a:solidFill>
            </a:ln>
            <a:effectLst/>
          </c:spPr>
          <c:marker>
            <c:spPr>
              <a:solidFill>
                <a:srgbClr val="1C1C1C"/>
              </a:solidFill>
              <a:ln w="3175"/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ИтогТаблицы!$C$85:$L$85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ИтогТаблицы!$C$88:$L$88</c:f>
              <c:numCache>
                <c:formatCode>#,##0</c:formatCode>
                <c:ptCount val="10"/>
                <c:pt idx="0">
                  <c:v>140</c:v>
                </c:pt>
                <c:pt idx="1">
                  <c:v>147</c:v>
                </c:pt>
                <c:pt idx="2">
                  <c:v>156</c:v>
                </c:pt>
                <c:pt idx="3">
                  <c:v>164</c:v>
                </c:pt>
                <c:pt idx="4">
                  <c:v>174</c:v>
                </c:pt>
                <c:pt idx="5">
                  <c:v>183</c:v>
                </c:pt>
                <c:pt idx="6">
                  <c:v>194</c:v>
                </c:pt>
                <c:pt idx="7">
                  <c:v>204</c:v>
                </c:pt>
                <c:pt idx="8">
                  <c:v>216</c:v>
                </c:pt>
                <c:pt idx="9">
                  <c:v>228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266-46F5-B223-697753FC3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39008"/>
        <c:axId val="205629992"/>
      </c:lineChart>
      <c:catAx>
        <c:axId val="205629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5632344"/>
        <c:crosses val="autoZero"/>
        <c:auto val="1"/>
        <c:lblAlgn val="ctr"/>
        <c:lblOffset val="100"/>
        <c:noMultiLvlLbl val="0"/>
      </c:catAx>
      <c:valAx>
        <c:axId val="20563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5629600"/>
        <c:crosses val="autoZero"/>
        <c:crossBetween val="between"/>
      </c:valAx>
      <c:valAx>
        <c:axId val="2056299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205639008"/>
        <c:crosses val="max"/>
        <c:crossBetween val="between"/>
      </c:valAx>
      <c:catAx>
        <c:axId val="20563900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0562999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График привлечения/погашения заемных средств (млн.руб.)</a:t>
            </a:r>
          </a:p>
        </c:rich>
      </c:tx>
      <c:layout>
        <c:manualLayout>
          <c:xMode val="edge"/>
          <c:yMode val="edge"/>
          <c:x val="0.1595727663008647"/>
          <c:y val="2.77807450270825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30192793642664E-2"/>
          <c:y val="0.29223849003994684"/>
          <c:w val="0.91570144509198548"/>
          <c:h val="0.543363664900049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ИтогТаблицы!$B$101</c:f>
              <c:strCache>
                <c:ptCount val="1"/>
                <c:pt idx="0">
                  <c:v>Привлечение </c:v>
                </c:pt>
              </c:strCache>
            </c:strRef>
          </c:tx>
          <c:spPr>
            <a:solidFill>
              <a:srgbClr val="1C1C1C"/>
            </a:solidFill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054-4DA1-AD88-453A77F1877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ИтогТаблицы!$C$100:$L$100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ИтогТаблицы!$C$101:$L$101</c:f>
              <c:numCache>
                <c:formatCode>#\ ##0.00_ ;[Red]\-#\ 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54-4DA1-AD88-453A77F18777}"/>
            </c:ext>
          </c:extLst>
        </c:ser>
        <c:ser>
          <c:idx val="0"/>
          <c:order val="1"/>
          <c:tx>
            <c:strRef>
              <c:f>ИтогТаблицы!$B$102</c:f>
              <c:strCache>
                <c:ptCount val="1"/>
                <c:pt idx="0">
                  <c:v>Погашение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ИтогТаблицы!$C$100:$L$100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ИтогТаблицы!$C$102:$L$102</c:f>
              <c:numCache>
                <c:formatCode>#\ ##0.00_ ;[Red]\-#\ 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54-4DA1-AD88-453A77F18777}"/>
            </c:ext>
          </c:extLst>
        </c:ser>
        <c:ser>
          <c:idx val="2"/>
          <c:order val="2"/>
          <c:tx>
            <c:strRef>
              <c:f>ИтогТаблицы!$B$103</c:f>
              <c:strCache>
                <c:ptCount val="1"/>
                <c:pt idx="0">
                  <c:v>Погашение процентов</c:v>
                </c:pt>
              </c:strCache>
            </c:strRef>
          </c:tx>
          <c:spPr>
            <a:solidFill>
              <a:srgbClr val="EC004F"/>
            </a:solidFill>
          </c:spPr>
          <c:invertIfNegative val="0"/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ИтогТаблицы!$C$100:$L$100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ИтогТаблицы!$C$103:$L$103</c:f>
              <c:numCache>
                <c:formatCode>#\ ##0.00_ ;[Red]\-#\ ##0.00\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54-4DA1-AD88-453A77F18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630384"/>
        <c:axId val="205632736"/>
      </c:barChart>
      <c:catAx>
        <c:axId val="20563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5632736"/>
        <c:crosses val="autoZero"/>
        <c:auto val="1"/>
        <c:lblAlgn val="ctr"/>
        <c:lblOffset val="100"/>
        <c:noMultiLvlLbl val="0"/>
      </c:catAx>
      <c:valAx>
        <c:axId val="20563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_ ;[Red]\-#\ ##0.0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5630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075356784532391"/>
          <c:y val="0.87549851307390314"/>
          <c:w val="0.62050107918265052"/>
          <c:h val="8.372613435307871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Бюджет доходов и расходов млн.руб.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БДР!$B$5</c:f>
              <c:strCache>
                <c:ptCount val="1"/>
                <c:pt idx="0">
                  <c:v>Выручка</c:v>
                </c:pt>
              </c:strCache>
            </c:strRef>
          </c:tx>
          <c:spPr>
            <a:solidFill>
              <a:srgbClr val="1C1C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БДР!$F$5:$O$5</c:f>
              <c:numCache>
                <c:formatCode>#\ ##0_ ;[Red]\-#\ ##0\ </c:formatCode>
                <c:ptCount val="10"/>
                <c:pt idx="0">
                  <c:v>110000</c:v>
                </c:pt>
                <c:pt idx="1">
                  <c:v>120640</c:v>
                </c:pt>
                <c:pt idx="2">
                  <c:v>131955.20000000001</c:v>
                </c:pt>
                <c:pt idx="3">
                  <c:v>148482.04800000004</c:v>
                </c:pt>
                <c:pt idx="4">
                  <c:v>157930.90560000006</c:v>
                </c:pt>
                <c:pt idx="5">
                  <c:v>164248.14182400005</c:v>
                </c:pt>
                <c:pt idx="6">
                  <c:v>170818.06749696005</c:v>
                </c:pt>
                <c:pt idx="7">
                  <c:v>177650.79019683844</c:v>
                </c:pt>
                <c:pt idx="8">
                  <c:v>184756.82180471197</c:v>
                </c:pt>
                <c:pt idx="9">
                  <c:v>192147.09467690048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21-4F35-BE12-A3574C75DBA5}"/>
            </c:ext>
          </c:extLst>
        </c:ser>
        <c:ser>
          <c:idx val="1"/>
          <c:order val="1"/>
          <c:tx>
            <c:strRef>
              <c:f>БДР!$B$12</c:f>
              <c:strCache>
                <c:ptCount val="1"/>
                <c:pt idx="0">
                  <c:v>Валовая прибыль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БДР!$F$12:$O$12</c:f>
              <c:numCache>
                <c:formatCode>#\ ##0_ ;[Red]\-#\ ##0\ </c:formatCode>
                <c:ptCount val="10"/>
                <c:pt idx="0">
                  <c:v>35695.199999999997</c:v>
                </c:pt>
                <c:pt idx="1">
                  <c:v>40942.131200000003</c:v>
                </c:pt>
                <c:pt idx="2">
                  <c:v>47627.850547200011</c:v>
                </c:pt>
                <c:pt idx="3">
                  <c:v>55902.024577843244</c:v>
                </c:pt>
                <c:pt idx="4">
                  <c:v>61246.270306202467</c:v>
                </c:pt>
                <c:pt idx="5">
                  <c:v>63272.231171349791</c:v>
                </c:pt>
                <c:pt idx="6">
                  <c:v>65355.492634065362</c:v>
                </c:pt>
                <c:pt idx="7">
                  <c:v>67497.017399377815</c:v>
                </c:pt>
                <c:pt idx="8">
                  <c:v>69697.732238659955</c:v>
                </c:pt>
                <c:pt idx="9">
                  <c:v>71958.522383538599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21-4F35-BE12-A3574C75DBA5}"/>
            </c:ext>
          </c:extLst>
        </c:ser>
        <c:ser>
          <c:idx val="2"/>
          <c:order val="2"/>
          <c:tx>
            <c:strRef>
              <c:f>БДР!$B$17</c:f>
              <c:strCache>
                <c:ptCount val="1"/>
                <c:pt idx="0">
                  <c:v>Прибыль/убыток от продаж</c:v>
                </c:pt>
              </c:strCache>
            </c:strRef>
          </c:tx>
          <c:spPr>
            <a:solidFill>
              <a:srgbClr val="F6F6F8"/>
            </a:solidFill>
            <a:ln>
              <a:noFill/>
            </a:ln>
            <a:effectLst/>
          </c:spPr>
          <c:invertIfNegative val="0"/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БДР!$F$17:$O$17</c:f>
              <c:numCache>
                <c:formatCode>#\ ##0_ ;[Red]\-#\ ##0\ </c:formatCode>
                <c:ptCount val="10"/>
                <c:pt idx="0">
                  <c:v>4952.4799999999959</c:v>
                </c:pt>
                <c:pt idx="1">
                  <c:v>8647.4188800000047</c:v>
                </c:pt>
                <c:pt idx="2">
                  <c:v>13701.018337280009</c:v>
                </c:pt>
                <c:pt idx="3">
                  <c:v>20258.729124167723</c:v>
                </c:pt>
                <c:pt idx="4">
                  <c:v>23797.727241521112</c:v>
                </c:pt>
                <c:pt idx="5">
                  <c:v>23924.977706822276</c:v>
                </c:pt>
                <c:pt idx="6">
                  <c:v>24011.137307771351</c:v>
                </c:pt>
                <c:pt idx="7">
                  <c:v>24051.976280348259</c:v>
                </c:pt>
                <c:pt idx="8">
                  <c:v>24042.950846723135</c:v>
                </c:pt>
                <c:pt idx="9">
                  <c:v>23979.182544602052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21-4F35-BE12-A3574C75DBA5}"/>
            </c:ext>
          </c:extLst>
        </c:ser>
        <c:ser>
          <c:idx val="3"/>
          <c:order val="3"/>
          <c:tx>
            <c:strRef>
              <c:f>БДР!$B$29</c:f>
              <c:strCache>
                <c:ptCount val="1"/>
                <c:pt idx="0">
                  <c:v>Чистая прибыль/убыток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БДР!$F$29:$O$29</c:f>
              <c:numCache>
                <c:formatCode>#\ ##0_ ;[Red]\-#\ ##0\ </c:formatCode>
                <c:ptCount val="10"/>
                <c:pt idx="0">
                  <c:v>2472.3559999999961</c:v>
                </c:pt>
                <c:pt idx="1">
                  <c:v>5893.2479360000043</c:v>
                </c:pt>
                <c:pt idx="2">
                  <c:v>10601.295420416009</c:v>
                </c:pt>
                <c:pt idx="3">
                  <c:v>16734.533787959335</c:v>
                </c:pt>
                <c:pt idx="4">
                  <c:v>19996.131644245059</c:v>
                </c:pt>
                <c:pt idx="5">
                  <c:v>20012.551216873162</c:v>
                </c:pt>
                <c:pt idx="6">
                  <c:v>19985.755733590464</c:v>
                </c:pt>
                <c:pt idx="7">
                  <c:v>19911.559769186832</c:v>
                </c:pt>
                <c:pt idx="8">
                  <c:v>19785.472899357203</c:v>
                </c:pt>
                <c:pt idx="9">
                  <c:v>19602.679796140983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D21-4F35-BE12-A3574C75D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634304"/>
        <c:axId val="205634696"/>
      </c:barChart>
      <c:catAx>
        <c:axId val="205634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5634696"/>
        <c:crosses val="autoZero"/>
        <c:auto val="1"/>
        <c:lblAlgn val="ctr"/>
        <c:lblOffset val="100"/>
        <c:noMultiLvlLbl val="0"/>
      </c:catAx>
      <c:valAx>
        <c:axId val="205634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5634304"/>
        <c:crosses val="autoZero"/>
        <c:crossBetween val="between"/>
        <c:dispUnits>
          <c:builtInUnit val="thousands"/>
        </c:dispUnits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Бюджет доходов и расходов. Рентабельность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БДР!$B$13</c:f>
              <c:strCache>
                <c:ptCount val="1"/>
                <c:pt idx="0">
                  <c:v>рент-ть по валовой прибыли</c:v>
                </c:pt>
              </c:strCache>
            </c:strRef>
          </c:tx>
          <c:spPr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БДР!$F$13:$O$13</c:f>
              <c:numCache>
                <c:formatCode>0%</c:formatCode>
                <c:ptCount val="10"/>
                <c:pt idx="0">
                  <c:v>0.32450181818181817</c:v>
                </c:pt>
                <c:pt idx="1">
                  <c:v>0.33937442970822285</c:v>
                </c:pt>
                <c:pt idx="2">
                  <c:v>0.36093955029585806</c:v>
                </c:pt>
                <c:pt idx="3">
                  <c:v>0.37649012342450466</c:v>
                </c:pt>
                <c:pt idx="4">
                  <c:v>0.3878042114272689</c:v>
                </c:pt>
                <c:pt idx="5">
                  <c:v>0.38522342151760286</c:v>
                </c:pt>
                <c:pt idx="6">
                  <c:v>0.38260292714778815</c:v>
                </c:pt>
                <c:pt idx="7">
                  <c:v>0.3799421174799763</c:v>
                </c:pt>
                <c:pt idx="8">
                  <c:v>0.37724037227881352</c:v>
                </c:pt>
                <c:pt idx="9">
                  <c:v>0.37449706176686365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F69-40B9-AF94-ADB3A80F2659}"/>
            </c:ext>
          </c:extLst>
        </c:ser>
        <c:ser>
          <c:idx val="1"/>
          <c:order val="1"/>
          <c:tx>
            <c:strRef>
              <c:f>БДР!$B$18</c:f>
              <c:strCache>
                <c:ptCount val="1"/>
                <c:pt idx="0">
                  <c:v>рент-ть по прибыли от продаж</c:v>
                </c:pt>
              </c:strCache>
            </c:strRef>
          </c:tx>
          <c:spPr>
            <a:effectLst/>
          </c:spPr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БДР!$F$18:$O$18</c:f>
              <c:numCache>
                <c:formatCode>0%</c:formatCode>
                <c:ptCount val="10"/>
                <c:pt idx="0">
                  <c:v>4.5022545454545419E-2</c:v>
                </c:pt>
                <c:pt idx="1">
                  <c:v>7.1679533156498706E-2</c:v>
                </c:pt>
                <c:pt idx="2">
                  <c:v>0.10383083301969159</c:v>
                </c:pt>
                <c:pt idx="3">
                  <c:v>0.13643891229307206</c:v>
                </c:pt>
                <c:pt idx="4">
                  <c:v>0.15068442209655197</c:v>
                </c:pt>
                <c:pt idx="5">
                  <c:v>0.14566361263592903</c:v>
                </c:pt>
                <c:pt idx="6">
                  <c:v>0.14056555995283498</c:v>
                </c:pt>
                <c:pt idx="7">
                  <c:v>0.13538907569000105</c:v>
                </c:pt>
                <c:pt idx="8">
                  <c:v>0.13013295320773888</c:v>
                </c:pt>
                <c:pt idx="9">
                  <c:v>0.12479596730267283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F69-40B9-AF94-ADB3A80F2659}"/>
            </c:ext>
          </c:extLst>
        </c:ser>
        <c:ser>
          <c:idx val="2"/>
          <c:order val="2"/>
          <c:tx>
            <c:strRef>
              <c:f>БДР!$B$30</c:f>
              <c:strCache>
                <c:ptCount val="1"/>
                <c:pt idx="0">
                  <c:v>рент-ть по чистой прибыли</c:v>
                </c:pt>
              </c:strCache>
            </c:strRef>
          </c:tx>
          <c:spPr>
            <a:ln>
              <a:solidFill>
                <a:srgbClr val="EC004F"/>
              </a:solidFill>
            </a:ln>
            <a:effectLst/>
          </c:spPr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БДР!$F$30:$O$30</c:f>
              <c:numCache>
                <c:formatCode>0%</c:formatCode>
                <c:ptCount val="10"/>
                <c:pt idx="0">
                  <c:v>2.2475963636363602E-2</c:v>
                </c:pt>
                <c:pt idx="1">
                  <c:v>4.8849866843501365E-2</c:v>
                </c:pt>
                <c:pt idx="2">
                  <c:v>8.0340111040838158E-2</c:v>
                </c:pt>
                <c:pt idx="3">
                  <c:v>0.11270408789053968</c:v>
                </c:pt>
                <c:pt idx="4">
                  <c:v>0.12661316395468736</c:v>
                </c:pt>
                <c:pt idx="5">
                  <c:v>0.12184339496709554</c:v>
                </c:pt>
                <c:pt idx="6">
                  <c:v>0.11700024491815621</c:v>
                </c:pt>
                <c:pt idx="7">
                  <c:v>0.11208258486846397</c:v>
                </c:pt>
                <c:pt idx="8">
                  <c:v>0.1070892685103149</c:v>
                </c:pt>
                <c:pt idx="9">
                  <c:v>0.10201913190050214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F69-40B9-AF94-ADB3A80F2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42928"/>
        <c:axId val="146507224"/>
      </c:lineChart>
      <c:catAx>
        <c:axId val="205642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46507224"/>
        <c:crosses val="autoZero"/>
        <c:auto val="1"/>
        <c:lblAlgn val="ctr"/>
        <c:lblOffset val="100"/>
        <c:noMultiLvlLbl val="0"/>
      </c:catAx>
      <c:valAx>
        <c:axId val="14650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564292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Себестоимость млн.руб.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БДР!$B$54</c:f>
              <c:strCache>
                <c:ptCount val="1"/>
                <c:pt idx="0">
                  <c:v>Сырье</c:v>
                </c:pt>
              </c:strCache>
            </c:strRef>
          </c:tx>
          <c:spPr>
            <a:solidFill>
              <a:schemeClr val="accent3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БДР!$F$54:$O$54</c:f>
              <c:numCache>
                <c:formatCode>#\ ##0_ ;[Red]\-#\ ##0\ </c:formatCode>
                <c:ptCount val="10"/>
                <c:pt idx="0">
                  <c:v>46000</c:v>
                </c:pt>
                <c:pt idx="1">
                  <c:v>49920</c:v>
                </c:pt>
                <c:pt idx="2">
                  <c:v>52998.399999999994</c:v>
                </c:pt>
                <c:pt idx="3">
                  <c:v>59617.792000000001</c:v>
                </c:pt>
                <c:pt idx="4">
                  <c:v>62002.503680000009</c:v>
                </c:pt>
                <c:pt idx="5">
                  <c:v>64482.603827200001</c:v>
                </c:pt>
                <c:pt idx="6">
                  <c:v>67061.907980288015</c:v>
                </c:pt>
                <c:pt idx="7">
                  <c:v>69744.384299499536</c:v>
                </c:pt>
                <c:pt idx="8">
                  <c:v>72534.159671479516</c:v>
                </c:pt>
                <c:pt idx="9">
                  <c:v>75435.526058338699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78-4758-BBA3-B92F08D28016}"/>
            </c:ext>
          </c:extLst>
        </c:ser>
        <c:ser>
          <c:idx val="1"/>
          <c:order val="1"/>
          <c:tx>
            <c:strRef>
              <c:f>БДР!$B$55</c:f>
              <c:strCache>
                <c:ptCount val="1"/>
                <c:pt idx="0">
                  <c:v>Ресурсы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БДР!$F$55:$O$55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78-4758-BBA3-B92F08D28016}"/>
            </c:ext>
          </c:extLst>
        </c:ser>
        <c:ser>
          <c:idx val="2"/>
          <c:order val="2"/>
          <c:tx>
            <c:strRef>
              <c:f>БДР!$B$56</c:f>
              <c:strCache>
                <c:ptCount val="1"/>
                <c:pt idx="0">
                  <c:v>Оплата труда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БДР!$F$56:$O$56</c:f>
              <c:numCache>
                <c:formatCode>#\ ##0_ ;[Red]\-#\ ##0\ </c:formatCode>
                <c:ptCount val="10"/>
                <c:pt idx="0">
                  <c:v>21304.799999999999</c:v>
                </c:pt>
                <c:pt idx="1">
                  <c:v>22497.868800000004</c:v>
                </c:pt>
                <c:pt idx="2">
                  <c:v>23757.749452800006</c:v>
                </c:pt>
                <c:pt idx="3">
                  <c:v>25088.183422156802</c:v>
                </c:pt>
                <c:pt idx="4">
                  <c:v>26493.121693797588</c:v>
                </c:pt>
                <c:pt idx="5">
                  <c:v>27976.736508650254</c:v>
                </c:pt>
                <c:pt idx="6">
                  <c:v>29543.433753134668</c:v>
                </c:pt>
                <c:pt idx="7">
                  <c:v>31197.866043310212</c:v>
                </c:pt>
                <c:pt idx="8">
                  <c:v>32944.946541735582</c:v>
                </c:pt>
                <c:pt idx="9">
                  <c:v>34789.863548072775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178-4758-BBA3-B92F08D28016}"/>
            </c:ext>
          </c:extLst>
        </c:ser>
        <c:ser>
          <c:idx val="3"/>
          <c:order val="3"/>
          <c:tx>
            <c:strRef>
              <c:f>БДР!$B$57</c:f>
              <c:strCache>
                <c:ptCount val="1"/>
                <c:pt idx="0">
                  <c:v>Амортизация ускоренная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БДР!$F$57:$O$57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178-4758-BBA3-B92F08D28016}"/>
            </c:ext>
          </c:extLst>
        </c:ser>
        <c:ser>
          <c:idx val="4"/>
          <c:order val="4"/>
          <c:tx>
            <c:strRef>
              <c:f>БДР!$B$58</c:f>
              <c:strCache>
                <c:ptCount val="1"/>
                <c:pt idx="0">
                  <c:v>Общепроизв. расходы</c:v>
                </c:pt>
              </c:strCache>
            </c:strRef>
          </c:tx>
          <c:spPr>
            <a:solidFill>
              <a:schemeClr val="accent3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БДР!$F$58:$O$58</c:f>
              <c:numCache>
                <c:formatCode>#\ ##0_ ;[Red]\-#\ ##0\ </c:formatCode>
                <c:ptCount val="10"/>
                <c:pt idx="0">
                  <c:v>7000</c:v>
                </c:pt>
                <c:pt idx="1">
                  <c:v>7280</c:v>
                </c:pt>
                <c:pt idx="2">
                  <c:v>7571.2000000000007</c:v>
                </c:pt>
                <c:pt idx="3">
                  <c:v>7874.0480000000007</c:v>
                </c:pt>
                <c:pt idx="4">
                  <c:v>8189.0099200000004</c:v>
                </c:pt>
                <c:pt idx="5">
                  <c:v>8516.5703168000018</c:v>
                </c:pt>
                <c:pt idx="6">
                  <c:v>8857.2331294720007</c:v>
                </c:pt>
                <c:pt idx="7">
                  <c:v>9211.5224546508816</c:v>
                </c:pt>
                <c:pt idx="8">
                  <c:v>9579.9833528369163</c:v>
                </c:pt>
                <c:pt idx="9">
                  <c:v>9963.1826869503948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178-4758-BBA3-B92F08D28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00"/>
        <c:axId val="146508400"/>
        <c:axId val="146508792"/>
      </c:barChart>
      <c:catAx>
        <c:axId val="146508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6508792"/>
        <c:crosses val="autoZero"/>
        <c:auto val="1"/>
        <c:lblAlgn val="ctr"/>
        <c:lblOffset val="100"/>
        <c:noMultiLvlLbl val="0"/>
      </c:catAx>
      <c:valAx>
        <c:axId val="14650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6508400"/>
        <c:crosses val="autoZero"/>
        <c:crossBetween val="between"/>
        <c:majorUnit val="10000"/>
        <c:minorUnit val="5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Бюджет движения денежных средств (млн.руб.)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БДДС!$B$28</c:f>
              <c:strCache>
                <c:ptCount val="1"/>
                <c:pt idx="0">
                  <c:v>Чистый денежный поток по опер. деят-ти</c:v>
                </c:pt>
              </c:strCache>
            </c:strRef>
          </c:tx>
          <c:spPr>
            <a:solidFill>
              <a:srgbClr val="1C1C1C"/>
            </a:solidFill>
            <a:ln>
              <a:noFill/>
            </a:ln>
            <a:effectLst/>
          </c:spPr>
          <c:invertIfNegative val="0"/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БДДС!$F$3:$O$3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БДДС!$F$28:$O$28</c:f>
              <c:numCache>
                <c:formatCode>#\ ##0_ ;[Red]\-#\ ##0\ </c:formatCode>
                <c:ptCount val="10"/>
                <c:pt idx="0">
                  <c:v>2472.3559999999998</c:v>
                </c:pt>
                <c:pt idx="1">
                  <c:v>5893.2479360000143</c:v>
                </c:pt>
                <c:pt idx="2">
                  <c:v>10601.295420416049</c:v>
                </c:pt>
                <c:pt idx="3">
                  <c:v>16734.533787959343</c:v>
                </c:pt>
                <c:pt idx="4">
                  <c:v>19996.131644245033</c:v>
                </c:pt>
                <c:pt idx="5">
                  <c:v>20012.551216873166</c:v>
                </c:pt>
                <c:pt idx="6">
                  <c:v>19985.755733590486</c:v>
                </c:pt>
                <c:pt idx="7">
                  <c:v>19911.559769186861</c:v>
                </c:pt>
                <c:pt idx="8">
                  <c:v>19785.472899357206</c:v>
                </c:pt>
                <c:pt idx="9">
                  <c:v>19602.679796141019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1C-4939-BFF4-6F05FC56C885}"/>
            </c:ext>
          </c:extLst>
        </c:ser>
        <c:ser>
          <c:idx val="1"/>
          <c:order val="1"/>
          <c:tx>
            <c:strRef>
              <c:f>БДДС!$B$39</c:f>
              <c:strCache>
                <c:ptCount val="1"/>
                <c:pt idx="0">
                  <c:v>Чистый денежный поток по инвест. деят-ти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cat>
            <c:numRef>
              <c:f>БДДС!$F$3:$O$3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БДДС!$F$39:$O$39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1C-4939-BFF4-6F05FC56C885}"/>
            </c:ext>
          </c:extLst>
        </c:ser>
        <c:ser>
          <c:idx val="2"/>
          <c:order val="2"/>
          <c:tx>
            <c:strRef>
              <c:f>БДДС!$B$53</c:f>
              <c:strCache>
                <c:ptCount val="1"/>
                <c:pt idx="0">
                  <c:v>Чистый денежный поток по фин. деят-ти</c:v>
                </c:pt>
              </c:strCache>
            </c:strRef>
          </c:tx>
          <c:spPr>
            <a:solidFill>
              <a:srgbClr val="F6F6F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БДДС!$F$3:$O$3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БДДС!$F$53:$O$53</c:f>
              <c:numCache>
                <c:formatCode>#\ ##0_ ;[Red]\-#\ ##0\ </c:formatCode>
                <c:ptCount val="10"/>
                <c:pt idx="0">
                  <c:v>10000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1C-4939-BFF4-6F05FC56C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511144"/>
        <c:axId val="146511536"/>
      </c:barChart>
      <c:catAx>
        <c:axId val="146511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46511536"/>
        <c:crosses val="autoZero"/>
        <c:auto val="1"/>
        <c:lblAlgn val="ctr"/>
        <c:lblOffset val="100"/>
        <c:noMultiLvlLbl val="0"/>
      </c:catAx>
      <c:valAx>
        <c:axId val="14651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46511144"/>
        <c:crosses val="autoZero"/>
        <c:crossBetween val="between"/>
        <c:dispUnits>
          <c:builtInUnit val="thousands"/>
        </c:dispUnits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АКТИВЫ (млн.руб.)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Баланс!$A$5:$B$5</c:f>
              <c:strCache>
                <c:ptCount val="2"/>
                <c:pt idx="0">
                  <c:v>I</c:v>
                </c:pt>
                <c:pt idx="1">
                  <c:v>Внеоборотные активы</c:v>
                </c:pt>
              </c:strCache>
            </c:strRef>
          </c:tx>
          <c:spPr>
            <a:solidFill>
              <a:srgbClr val="1C1C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Баланс!$F$5:$O$5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74-4903-BE04-B6076F1E5FEF}"/>
            </c:ext>
          </c:extLst>
        </c:ser>
        <c:ser>
          <c:idx val="1"/>
          <c:order val="1"/>
          <c:tx>
            <c:strRef>
              <c:f>Баланс!$A$12:$B$12</c:f>
              <c:strCache>
                <c:ptCount val="2"/>
                <c:pt idx="0">
                  <c:v>II</c:v>
                </c:pt>
                <c:pt idx="1">
                  <c:v>Оборотные активы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Баланс!$F$12:$O$12</c:f>
              <c:numCache>
                <c:formatCode>#\ ##0_ ;[Red]\-#\ ##0\ </c:formatCode>
                <c:ptCount val="10"/>
                <c:pt idx="0">
                  <c:v>12472.356</c:v>
                </c:pt>
                <c:pt idx="1">
                  <c:v>18365.603936000014</c:v>
                </c:pt>
                <c:pt idx="2">
                  <c:v>28966.899356416077</c:v>
                </c:pt>
                <c:pt idx="3">
                  <c:v>45701.43314437542</c:v>
                </c:pt>
                <c:pt idx="4">
                  <c:v>65697.564788620453</c:v>
                </c:pt>
                <c:pt idx="5">
                  <c:v>95710.116005493619</c:v>
                </c:pt>
                <c:pt idx="6">
                  <c:v>115695.8717390841</c:v>
                </c:pt>
                <c:pt idx="7">
                  <c:v>135607.43150827097</c:v>
                </c:pt>
                <c:pt idx="8">
                  <c:v>155392.90440762817</c:v>
                </c:pt>
                <c:pt idx="9">
                  <c:v>174995.58420376916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74-4903-BE04-B6076F1E5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4299016"/>
        <c:axId val="204296272"/>
      </c:barChart>
      <c:lineChart>
        <c:grouping val="standard"/>
        <c:varyColors val="0"/>
        <c:ser>
          <c:idx val="2"/>
          <c:order val="2"/>
          <c:tx>
            <c:v>`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Баланс!$F$21:$O$21</c:f>
              <c:numCache>
                <c:formatCode>#\ ##0_ ;[Red]\-#\ ##0\ </c:formatCode>
                <c:ptCount val="10"/>
                <c:pt idx="0">
                  <c:v>12472.356</c:v>
                </c:pt>
                <c:pt idx="1">
                  <c:v>18365.603936000014</c:v>
                </c:pt>
                <c:pt idx="2">
                  <c:v>28966.899356416077</c:v>
                </c:pt>
                <c:pt idx="3">
                  <c:v>45701.43314437542</c:v>
                </c:pt>
                <c:pt idx="4">
                  <c:v>65697.564788620453</c:v>
                </c:pt>
                <c:pt idx="5">
                  <c:v>95710.116005493619</c:v>
                </c:pt>
                <c:pt idx="6">
                  <c:v>115695.8717390841</c:v>
                </c:pt>
                <c:pt idx="7">
                  <c:v>135607.43150827097</c:v>
                </c:pt>
                <c:pt idx="8">
                  <c:v>155392.90440762817</c:v>
                </c:pt>
                <c:pt idx="9">
                  <c:v>174995.58420376916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F74-4903-BE04-B6076F1E5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99016"/>
        <c:axId val="204296272"/>
      </c:lineChart>
      <c:catAx>
        <c:axId val="204299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04296272"/>
        <c:crosses val="autoZero"/>
        <c:auto val="1"/>
        <c:lblAlgn val="ctr"/>
        <c:lblOffset val="100"/>
        <c:noMultiLvlLbl val="0"/>
      </c:catAx>
      <c:valAx>
        <c:axId val="20429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04299016"/>
        <c:crosses val="autoZero"/>
        <c:crossBetween val="between"/>
        <c:minorUnit val="2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62388534240801"/>
          <c:y val="0.88946704578594316"/>
          <c:w val="0.4247522293151842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КАПИТАЛ И ОБЯЗАТЕЛЬСТВА (млн.руб.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Баланс!$A$23:$B$23</c:f>
              <c:strCache>
                <c:ptCount val="2"/>
                <c:pt idx="0">
                  <c:v>III</c:v>
                </c:pt>
                <c:pt idx="1">
                  <c:v>Капитал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Баланс!$F$23:$O$23</c:f>
              <c:numCache>
                <c:formatCode>#\ ##0_ ;[Red]\-#\ ##0\ </c:formatCode>
                <c:ptCount val="10"/>
                <c:pt idx="0">
                  <c:v>12472.355999999996</c:v>
                </c:pt>
                <c:pt idx="1">
                  <c:v>18365.603936</c:v>
                </c:pt>
                <c:pt idx="2">
                  <c:v>28966.899356416008</c:v>
                </c:pt>
                <c:pt idx="3">
                  <c:v>45701.433144375347</c:v>
                </c:pt>
                <c:pt idx="4">
                  <c:v>65697.56478862041</c:v>
                </c:pt>
                <c:pt idx="5">
                  <c:v>95710.116005493575</c:v>
                </c:pt>
                <c:pt idx="6">
                  <c:v>115695.87173908405</c:v>
                </c:pt>
                <c:pt idx="7">
                  <c:v>135607.43150827088</c:v>
                </c:pt>
                <c:pt idx="8">
                  <c:v>155392.90440762808</c:v>
                </c:pt>
                <c:pt idx="9">
                  <c:v>174995.58420376907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DF-4D57-81E9-2BC8D401E34E}"/>
            </c:ext>
          </c:extLst>
        </c:ser>
        <c:ser>
          <c:idx val="1"/>
          <c:order val="1"/>
          <c:tx>
            <c:strRef>
              <c:f>Баланс!$A$26:$B$26</c:f>
              <c:strCache>
                <c:ptCount val="2"/>
                <c:pt idx="0">
                  <c:v>IV</c:v>
                </c:pt>
                <c:pt idx="1">
                  <c:v>Долгосрочные обязательства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Баланс!$F$26:$O$26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DF-4D57-81E9-2BC8D401E34E}"/>
            </c:ext>
          </c:extLst>
        </c:ser>
        <c:ser>
          <c:idx val="2"/>
          <c:order val="2"/>
          <c:tx>
            <c:strRef>
              <c:f>Баланс!$A$31:$B$31</c:f>
              <c:strCache>
                <c:ptCount val="2"/>
                <c:pt idx="0">
                  <c:v>V</c:v>
                </c:pt>
                <c:pt idx="1">
                  <c:v>Краткосрочные обязательства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Баланс!$F$3:$O$3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Баланс!$F$31:$O$31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9DF-4D57-81E9-2BC8D401E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4064160"/>
        <c:axId val="204060632"/>
      </c:barChart>
      <c:lineChart>
        <c:grouping val="standard"/>
        <c:varyColors val="0"/>
        <c:ser>
          <c:idx val="3"/>
          <c:order val="3"/>
          <c:tx>
            <c:v>`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Баланс!$F$40:$O$40</c:f>
              <c:numCache>
                <c:formatCode>#\ ##0_ ;[Red]\-#\ ##0\ </c:formatCode>
                <c:ptCount val="10"/>
                <c:pt idx="0">
                  <c:v>12472.355999999996</c:v>
                </c:pt>
                <c:pt idx="1">
                  <c:v>18365.603936</c:v>
                </c:pt>
                <c:pt idx="2">
                  <c:v>28966.899356416008</c:v>
                </c:pt>
                <c:pt idx="3">
                  <c:v>45701.433144375347</c:v>
                </c:pt>
                <c:pt idx="4">
                  <c:v>65697.56478862041</c:v>
                </c:pt>
                <c:pt idx="5">
                  <c:v>95710.116005493575</c:v>
                </c:pt>
                <c:pt idx="6">
                  <c:v>115695.87173908405</c:v>
                </c:pt>
                <c:pt idx="7">
                  <c:v>135607.43150827088</c:v>
                </c:pt>
                <c:pt idx="8">
                  <c:v>155392.90440762808</c:v>
                </c:pt>
                <c:pt idx="9">
                  <c:v>174995.58420376907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9DF-4D57-81E9-2BC8D401E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64160"/>
        <c:axId val="204060632"/>
      </c:lineChart>
      <c:catAx>
        <c:axId val="20406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04060632"/>
        <c:crosses val="autoZero"/>
        <c:auto val="1"/>
        <c:lblAlgn val="ctr"/>
        <c:lblOffset val="100"/>
        <c:noMultiLvlLbl val="0"/>
      </c:catAx>
      <c:valAx>
        <c:axId val="204060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04064160"/>
        <c:crosses val="autoZero"/>
        <c:crossBetween val="between"/>
        <c:minorUnit val="2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Инвестиции. Остаточная стоимость ОС (млн.руб.)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Инвестиции!$B$11</c:f>
              <c:strCache>
                <c:ptCount val="1"/>
                <c:pt idx="0">
                  <c:v>Остаточная стоимость ОС</c:v>
                </c:pt>
              </c:strCache>
            </c:strRef>
          </c:tx>
          <c:spPr>
            <a:ln w="28575" cap="rnd">
              <a:solidFill>
                <a:srgbClr val="1C1C1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1C1C1C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Инвестиции!$F$3:$O$3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Инвестиции!$F$11:$O$11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1E-439D-A772-8A82813A13EE}"/>
            </c:ext>
          </c:extLst>
        </c:ser>
        <c:ser>
          <c:idx val="1"/>
          <c:order val="1"/>
          <c:tx>
            <c:strRef>
              <c:f>Инвестиции!$B$18</c:f>
              <c:strCache>
                <c:ptCount val="1"/>
                <c:pt idx="0">
                  <c:v>Остаточная стоимость ОС после ускор амортизации</c:v>
                </c:pt>
              </c:strCache>
            </c:strRef>
          </c:tx>
          <c:spPr>
            <a:ln w="28575" cap="rnd">
              <a:solidFill>
                <a:srgbClr val="EC004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C004F"/>
              </a:solidFill>
              <a:ln w="9525">
                <a:solidFill>
                  <a:srgbClr val="EC004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Инвестиции!$F$3:$O$3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Инвестиции!$F$18:$O$18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1E-439D-A772-8A82813A1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57888"/>
        <c:axId val="143226768"/>
      </c:lineChart>
      <c:catAx>
        <c:axId val="204057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3226768"/>
        <c:crosses val="autoZero"/>
        <c:auto val="1"/>
        <c:lblAlgn val="ctr"/>
        <c:lblOffset val="100"/>
        <c:noMultiLvlLbl val="0"/>
      </c:catAx>
      <c:valAx>
        <c:axId val="14322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0405788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Платежи по выплате Кредитов и процентов млн.руб.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Финансы!$B$23</c:f>
              <c:strCache>
                <c:ptCount val="1"/>
                <c:pt idx="0">
                  <c:v>Погашение кредита/займа</c:v>
                </c:pt>
              </c:strCache>
            </c:strRef>
          </c:tx>
          <c:spPr>
            <a:solidFill>
              <a:srgbClr val="1C1C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Финансы!$F$3:$O$3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Финансы!$F$23:$O$23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A4-4892-B02E-BA3648638D89}"/>
            </c:ext>
          </c:extLst>
        </c:ser>
        <c:ser>
          <c:idx val="1"/>
          <c:order val="1"/>
          <c:tx>
            <c:strRef>
              <c:f>Финансы!$B$26</c:f>
              <c:strCache>
                <c:ptCount val="1"/>
                <c:pt idx="0">
                  <c:v>Оплата %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Финансы!$F$3:$O$3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Финансы!$F$26:$O$26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A4-4892-B02E-BA3648638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100"/>
        <c:axId val="146701312"/>
        <c:axId val="142972712"/>
      </c:barChart>
      <c:lineChart>
        <c:grouping val="standard"/>
        <c:varyColors val="0"/>
        <c:ser>
          <c:idx val="2"/>
          <c:order val="2"/>
          <c:tx>
            <c:strRef>
              <c:f>Финансы!$B$24</c:f>
              <c:strCache>
                <c:ptCount val="1"/>
                <c:pt idx="0">
                  <c:v>Сумма кредита/займа на кон. периода</c:v>
                </c:pt>
              </c:strCache>
            </c:strRef>
          </c:tx>
          <c:spPr>
            <a:ln w="28575" cap="rnd">
              <a:solidFill>
                <a:srgbClr val="A3A3A3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8145527127563059E-2"/>
                  <c:y val="-5.0925925925925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6A4-4892-B02E-BA3648638D8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Финансы!$F$3:$O$3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Финансы!$F$24:$O$24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6A4-4892-B02E-BA3648638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86872"/>
        <c:axId val="211886480"/>
      </c:lineChart>
      <c:catAx>
        <c:axId val="14670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2972712"/>
        <c:crosses val="autoZero"/>
        <c:auto val="1"/>
        <c:lblAlgn val="ctr"/>
        <c:lblOffset val="100"/>
        <c:noMultiLvlLbl val="0"/>
      </c:catAx>
      <c:valAx>
        <c:axId val="14297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46701312"/>
        <c:crosses val="autoZero"/>
        <c:crossBetween val="between"/>
        <c:dispUnits>
          <c:builtInUnit val="thousands"/>
        </c:dispUnits>
      </c:valAx>
      <c:valAx>
        <c:axId val="211886480"/>
        <c:scaling>
          <c:orientation val="minMax"/>
        </c:scaling>
        <c:delete val="0"/>
        <c:axPos val="r"/>
        <c:numFmt formatCode="#\ ##0_ ;[Red]\-#\ 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11886872"/>
        <c:crosses val="max"/>
        <c:crossBetween val="between"/>
        <c:dispUnits>
          <c:builtInUnit val="thousands"/>
        </c:dispUnits>
      </c:valAx>
      <c:catAx>
        <c:axId val="21188687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11886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Выручка млн.руб. без НДС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1645315986091956"/>
          <c:y val="0.1805959805959807"/>
          <c:w val="0.45966855941868034"/>
          <c:h val="0.672140826471535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D4-4479-ADEA-F5713EE6460A}"/>
              </c:ext>
            </c:extLst>
          </c:dPt>
          <c:dPt>
            <c:idx val="1"/>
            <c:bubble3D val="0"/>
            <c:spPr>
              <a:solidFill>
                <a:schemeClr val="accent3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D4-4479-ADEA-F5713EE646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D4-4479-ADEA-F5713EE6460A}"/>
              </c:ext>
            </c:extLst>
          </c:dPt>
          <c:dPt>
            <c:idx val="3"/>
            <c:bubble3D val="0"/>
            <c:spPr>
              <a:solidFill>
                <a:schemeClr val="accent3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D4-4479-ADEA-F5713EE6460A}"/>
              </c:ext>
            </c:extLst>
          </c:dPt>
          <c:dPt>
            <c:idx val="4"/>
            <c:bubble3D val="0"/>
            <c:spPr>
              <a:solidFill>
                <a:schemeClr val="accent3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9D4-4479-ADEA-F5713EE6460A}"/>
              </c:ext>
            </c:extLst>
          </c:dPt>
          <c:cat>
            <c:strRef>
              <c:f>Выручка!$B$53:$B$57</c:f>
              <c:strCache>
                <c:ptCount val="5"/>
                <c:pt idx="0">
                  <c:v>Продукт / Услуга 1</c:v>
                </c:pt>
                <c:pt idx="1">
                  <c:v>Продукт / Услуга 2</c:v>
                </c:pt>
                <c:pt idx="2">
                  <c:v>Продукт / Услуга 3</c:v>
                </c:pt>
                <c:pt idx="3">
                  <c:v>Продукт / Услуга 4</c:v>
                </c:pt>
                <c:pt idx="4">
                  <c:v>Продукт / Услуга 5</c:v>
                </c:pt>
              </c:strCache>
            </c:strRef>
          </c:cat>
          <c:val>
            <c:numRef>
              <c:f>Выручка!$D$53:$D$57</c:f>
              <c:numCache>
                <c:formatCode>#\ ##0_ ;[Red]\-#\ ##0\ </c:formatCode>
                <c:ptCount val="5"/>
                <c:pt idx="0">
                  <c:v>430.78000000000003</c:v>
                </c:pt>
                <c:pt idx="1">
                  <c:v>240.12999999999997</c:v>
                </c:pt>
                <c:pt idx="2">
                  <c:v>887.71999999999991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9D4-4479-ADEA-F5713EE64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Выручка млн.руб. без НДС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Выручка!$B$53</c:f>
              <c:strCache>
                <c:ptCount val="1"/>
                <c:pt idx="0">
                  <c:v>Продукт / Услуга 1</c:v>
                </c:pt>
              </c:strCache>
            </c:strRef>
          </c:tx>
          <c:spPr>
            <a:solidFill>
              <a:schemeClr val="accent3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Выручка!$F$3:$O$3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Выручка!$F$53:$O$53</c:f>
              <c:numCache>
                <c:formatCode>#\ ##0_ ;[Red]\-#\ ##0\ </c:formatCode>
                <c:ptCount val="10"/>
                <c:pt idx="0">
                  <c:v>18</c:v>
                </c:pt>
                <c:pt idx="1">
                  <c:v>24.96</c:v>
                </c:pt>
                <c:pt idx="2">
                  <c:v>32.450000000000003</c:v>
                </c:pt>
                <c:pt idx="3">
                  <c:v>44.99</c:v>
                </c:pt>
                <c:pt idx="4">
                  <c:v>46.79</c:v>
                </c:pt>
                <c:pt idx="5">
                  <c:v>48.67</c:v>
                </c:pt>
                <c:pt idx="6">
                  <c:v>50.61</c:v>
                </c:pt>
                <c:pt idx="7">
                  <c:v>52.64</c:v>
                </c:pt>
                <c:pt idx="8">
                  <c:v>54.74</c:v>
                </c:pt>
                <c:pt idx="9">
                  <c:v>56.93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CB-41C8-830C-A05FFB1D2337}"/>
            </c:ext>
          </c:extLst>
        </c:ser>
        <c:ser>
          <c:idx val="1"/>
          <c:order val="1"/>
          <c:tx>
            <c:strRef>
              <c:f>Выручка!$B$54</c:f>
              <c:strCache>
                <c:ptCount val="1"/>
                <c:pt idx="0">
                  <c:v>Продукт / Услуга 2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Выручка!$F$3:$O$3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Выручка!$F$54:$O$54</c:f>
              <c:numCache>
                <c:formatCode>#\ ##0_ ;[Red]\-#\ ##0\ </c:formatCode>
                <c:ptCount val="10"/>
                <c:pt idx="0">
                  <c:v>20</c:v>
                </c:pt>
                <c:pt idx="1">
                  <c:v>20.8</c:v>
                </c:pt>
                <c:pt idx="2">
                  <c:v>21.63</c:v>
                </c:pt>
                <c:pt idx="3">
                  <c:v>22.5</c:v>
                </c:pt>
                <c:pt idx="4">
                  <c:v>23.4</c:v>
                </c:pt>
                <c:pt idx="5">
                  <c:v>24.33</c:v>
                </c:pt>
                <c:pt idx="6">
                  <c:v>25.31</c:v>
                </c:pt>
                <c:pt idx="7">
                  <c:v>26.32</c:v>
                </c:pt>
                <c:pt idx="8">
                  <c:v>27.37</c:v>
                </c:pt>
                <c:pt idx="9">
                  <c:v>28.47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CB-41C8-830C-A05FFB1D2337}"/>
            </c:ext>
          </c:extLst>
        </c:ser>
        <c:ser>
          <c:idx val="2"/>
          <c:order val="2"/>
          <c:tx>
            <c:strRef>
              <c:f>Выручка!$B$55</c:f>
              <c:strCache>
                <c:ptCount val="1"/>
                <c:pt idx="0">
                  <c:v>Продукт / Услуга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Выручка!$F$3:$O$3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Выручка!$F$55:$O$55</c:f>
              <c:numCache>
                <c:formatCode>#\ ##0_ ;[Red]\-#\ ##0\ </c:formatCode>
                <c:ptCount val="10"/>
                <c:pt idx="0">
                  <c:v>72</c:v>
                </c:pt>
                <c:pt idx="1">
                  <c:v>74.88</c:v>
                </c:pt>
                <c:pt idx="2">
                  <c:v>77.88</c:v>
                </c:pt>
                <c:pt idx="3">
                  <c:v>80.989999999999995</c:v>
                </c:pt>
                <c:pt idx="4">
                  <c:v>87.74</c:v>
                </c:pt>
                <c:pt idx="5">
                  <c:v>91.25</c:v>
                </c:pt>
                <c:pt idx="6">
                  <c:v>94.9</c:v>
                </c:pt>
                <c:pt idx="7">
                  <c:v>98.69</c:v>
                </c:pt>
                <c:pt idx="8">
                  <c:v>102.64</c:v>
                </c:pt>
                <c:pt idx="9">
                  <c:v>106.75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CB-41C8-830C-A05FFB1D2337}"/>
            </c:ext>
          </c:extLst>
        </c:ser>
        <c:ser>
          <c:idx val="3"/>
          <c:order val="3"/>
          <c:tx>
            <c:strRef>
              <c:f>Выручка!$B$56</c:f>
              <c:strCache>
                <c:ptCount val="1"/>
                <c:pt idx="0">
                  <c:v>Продукт / Услуга 4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Выручка!$F$3:$O$3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Выручка!$F$56:$O$56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CB-41C8-830C-A05FFB1D2337}"/>
            </c:ext>
          </c:extLst>
        </c:ser>
        <c:ser>
          <c:idx val="4"/>
          <c:order val="4"/>
          <c:tx>
            <c:strRef>
              <c:f>Выручка!$B$57</c:f>
              <c:strCache>
                <c:ptCount val="1"/>
                <c:pt idx="0">
                  <c:v>Продукт / Услуга 5</c:v>
                </c:pt>
              </c:strCache>
            </c:strRef>
          </c:tx>
          <c:spPr>
            <a:solidFill>
              <a:schemeClr val="accent3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numRef>
              <c:f>Выручка!$F$3:$O$3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Выручка!$F$57:$O$57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CB-41C8-830C-A05FFB1D2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895104"/>
        <c:axId val="211894712"/>
      </c:barChart>
      <c:catAx>
        <c:axId val="21189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11894712"/>
        <c:crosses val="autoZero"/>
        <c:auto val="1"/>
        <c:lblAlgn val="ctr"/>
        <c:lblOffset val="100"/>
        <c:noMultiLvlLbl val="0"/>
      </c:catAx>
      <c:valAx>
        <c:axId val="21189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1189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Инж. и энерго ресурсы млн.руб. без НДС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4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C8-42A3-88A0-BF35E76FDA6E}"/>
              </c:ext>
            </c:extLst>
          </c:dPt>
          <c:dPt>
            <c:idx val="1"/>
            <c:bubble3D val="0"/>
            <c:spPr>
              <a:solidFill>
                <a:schemeClr val="accent3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C8-42A3-88A0-BF35E76FDA6E}"/>
              </c:ext>
            </c:extLst>
          </c:dPt>
          <c:dPt>
            <c:idx val="2"/>
            <c:bubble3D val="0"/>
            <c:spPr>
              <a:solidFill>
                <a:schemeClr val="accent3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C8-42A3-88A0-BF35E76FDA6E}"/>
              </c:ext>
            </c:extLst>
          </c:dPt>
          <c:dPt>
            <c:idx val="3"/>
            <c:bubble3D val="0"/>
            <c:spPr>
              <a:solidFill>
                <a:schemeClr val="accent3">
                  <a:tint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C8-42A3-88A0-BF35E76FDA6E}"/>
              </c:ext>
            </c:extLst>
          </c:dPt>
          <c:dPt>
            <c:idx val="4"/>
            <c:bubble3D val="0"/>
            <c:spPr>
              <a:solidFill>
                <a:schemeClr val="accent3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9C8-42A3-88A0-BF35E76FDA6E}"/>
              </c:ext>
            </c:extLst>
          </c:dPt>
          <c:dPt>
            <c:idx val="5"/>
            <c:bubble3D val="0"/>
            <c:spPr>
              <a:solidFill>
                <a:schemeClr val="accent3">
                  <a:tint val="6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9C8-42A3-88A0-BF35E76FDA6E}"/>
              </c:ext>
            </c:extLst>
          </c:dPt>
          <c:dPt>
            <c:idx val="6"/>
            <c:bubble3D val="0"/>
            <c:spPr>
              <a:solidFill>
                <a:schemeClr val="accent3">
                  <a:tint val="4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9C8-42A3-88A0-BF35E76FDA6E}"/>
              </c:ext>
            </c:extLst>
          </c:dPt>
          <c:dLbls>
            <c:dLbl>
              <c:idx val="0"/>
              <c:layout>
                <c:manualLayout>
                  <c:x val="9.0090217904827841E-3"/>
                  <c:y val="-0.111482720178372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C8-42A3-88A0-BF35E76FDA6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4714735591121883"/>
                  <c:y val="-2.22965440356745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9C8-42A3-88A0-BF35E76FDA6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015036317471306"/>
                  <c:y val="8.02675585284280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9C8-42A3-88A0-BF35E76FDA6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5315337043820734"/>
                  <c:y val="0.1739130434782608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9C8-42A3-88A0-BF35E76FDA6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26426463918749504"/>
                  <c:y val="-4.0876525189629443E-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9C8-42A3-88A0-BF35E76FDA6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1111126874928767"/>
                  <c:y val="-8.91861761426979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9C8-42A3-88A0-BF35E76FDA6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027065371448299E-2"/>
                  <c:y val="-9.81047937569676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9C8-42A3-88A0-BF35E76FDA6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Ресурсы!$B$51:$B$57</c:f>
              <c:strCache>
                <c:ptCount val="7"/>
                <c:pt idx="0">
                  <c:v>Электроэнергия потребление</c:v>
                </c:pt>
                <c:pt idx="1">
                  <c:v>Вода пром. назначения</c:v>
                </c:pt>
                <c:pt idx="2">
                  <c:v>Вода хоз.-быт. назначения</c:v>
                </c:pt>
                <c:pt idx="3">
                  <c:v>Водоотведение пром. назначения</c:v>
                </c:pt>
                <c:pt idx="4">
                  <c:v>Водоотведение хоз.-быт. Назначения</c:v>
                </c:pt>
                <c:pt idx="5">
                  <c:v>Ливневая канализация</c:v>
                </c:pt>
                <c:pt idx="6">
                  <c:v>Теплоснабжение</c:v>
                </c:pt>
              </c:strCache>
            </c:strRef>
          </c:cat>
          <c:val>
            <c:numRef>
              <c:f>Ресурсы!$D$51:$D$57</c:f>
              <c:numCache>
                <c:formatCode>#\ ##0.0_ ;[Red]\-#\ ##0.0\ 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19C8-42A3-88A0-BF35E76FD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Инж. и энерго ресурсы млн.руб. без НДС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Ресурсы!$B$51</c:f>
              <c:strCache>
                <c:ptCount val="1"/>
                <c:pt idx="0">
                  <c:v>Электроэнергия потребление</c:v>
                </c:pt>
              </c:strCache>
            </c:strRef>
          </c:tx>
          <c:spPr>
            <a:solidFill>
              <a:schemeClr val="accent3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numRef>
              <c:f>Ресурсы!$F$3:$O$3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Ресурсы!$F$51:$O$51</c:f>
              <c:numCache>
                <c:formatCode>#\ ##0.0_ ;[Red]\-#\ ##0.0\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8C-4882-A73D-516CB563F76D}"/>
            </c:ext>
          </c:extLst>
        </c:ser>
        <c:ser>
          <c:idx val="1"/>
          <c:order val="1"/>
          <c:tx>
            <c:strRef>
              <c:f>Ресурсы!#REF!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shade val="61000"/>
              </a:schemeClr>
            </a:solidFill>
            <a:ln>
              <a:noFill/>
            </a:ln>
            <a:effectLst/>
          </c:spPr>
          <c:invertIfNegative val="0"/>
          <c:cat>
            <c:numRef>
              <c:f>Ресурсы!$F$3:$O$3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Ресурсы!#REF!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8C-4882-A73D-516CB563F76D}"/>
            </c:ext>
          </c:extLst>
        </c:ser>
        <c:ser>
          <c:idx val="2"/>
          <c:order val="2"/>
          <c:tx>
            <c:strRef>
              <c:f>Ресурсы!$B$52</c:f>
              <c:strCache>
                <c:ptCount val="1"/>
                <c:pt idx="0">
                  <c:v>Вода пром. назначения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Ресурсы!$F$3:$O$3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Ресурсы!$F$52:$O$52</c:f>
              <c:numCache>
                <c:formatCode>#\ ##0.0_ ;[Red]\-#\ ##0.0\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98C-4882-A73D-516CB563F76D}"/>
            </c:ext>
          </c:extLst>
        </c:ser>
        <c:ser>
          <c:idx val="3"/>
          <c:order val="3"/>
          <c:tx>
            <c:strRef>
              <c:f>Ресурсы!$B$53</c:f>
              <c:strCache>
                <c:ptCount val="1"/>
                <c:pt idx="0">
                  <c:v>Вода хоз.-быт. назначения</c:v>
                </c:pt>
              </c:strCache>
            </c:strRef>
          </c:tx>
          <c:spPr>
            <a:solidFill>
              <a:schemeClr val="accent3">
                <a:shade val="92000"/>
              </a:schemeClr>
            </a:solidFill>
            <a:ln>
              <a:noFill/>
            </a:ln>
            <a:effectLst/>
          </c:spPr>
          <c:invertIfNegative val="0"/>
          <c:cat>
            <c:numRef>
              <c:f>Ресурсы!$F$3:$O$3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Ресурсы!$F$53:$O$53</c:f>
              <c:numCache>
                <c:formatCode>#\ ##0.0_ ;[Red]\-#\ ##0.0\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98C-4882-A73D-516CB563F76D}"/>
            </c:ext>
          </c:extLst>
        </c:ser>
        <c:ser>
          <c:idx val="4"/>
          <c:order val="4"/>
          <c:tx>
            <c:strRef>
              <c:f>Ресурсы!$B$54</c:f>
              <c:strCache>
                <c:ptCount val="1"/>
                <c:pt idx="0">
                  <c:v>Водоотведение пром. назначения</c:v>
                </c:pt>
              </c:strCache>
            </c:strRef>
          </c:tx>
          <c:spPr>
            <a:solidFill>
              <a:schemeClr val="accent3">
                <a:tint val="93000"/>
              </a:schemeClr>
            </a:solidFill>
            <a:ln>
              <a:noFill/>
            </a:ln>
            <a:effectLst/>
          </c:spPr>
          <c:invertIfNegative val="0"/>
          <c:cat>
            <c:numRef>
              <c:f>Ресурсы!$F$3:$O$3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Ресурсы!$F$54:$O$54</c:f>
              <c:numCache>
                <c:formatCode>#\ ##0.0_ ;[Red]\-#\ ##0.0\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98C-4882-A73D-516CB563F76D}"/>
            </c:ext>
          </c:extLst>
        </c:ser>
        <c:ser>
          <c:idx val="5"/>
          <c:order val="5"/>
          <c:tx>
            <c:strRef>
              <c:f>Ресурсы!$B$55</c:f>
              <c:strCache>
                <c:ptCount val="1"/>
                <c:pt idx="0">
                  <c:v>Водоотведение хоз.-быт. Назначения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numRef>
              <c:f>Ресурсы!$F$3:$O$3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Ресурсы!$F$55:$O$55</c:f>
              <c:numCache>
                <c:formatCode>#\ ##0.0_ ;[Red]\-#\ ##0.0\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98C-4882-A73D-516CB563F76D}"/>
            </c:ext>
          </c:extLst>
        </c:ser>
        <c:ser>
          <c:idx val="6"/>
          <c:order val="6"/>
          <c:tx>
            <c:strRef>
              <c:f>Ресурсы!$B$56</c:f>
              <c:strCache>
                <c:ptCount val="1"/>
                <c:pt idx="0">
                  <c:v>Ливневая канализация</c:v>
                </c:pt>
              </c:strCache>
            </c:strRef>
          </c:tx>
          <c:spPr>
            <a:solidFill>
              <a:schemeClr val="accent3">
                <a:tint val="62000"/>
              </a:schemeClr>
            </a:solidFill>
            <a:ln>
              <a:noFill/>
            </a:ln>
            <a:effectLst/>
          </c:spPr>
          <c:invertIfNegative val="0"/>
          <c:cat>
            <c:numRef>
              <c:f>Ресурсы!$F$3:$O$3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Ресурсы!$F$56:$O$56</c:f>
              <c:numCache>
                <c:formatCode>#\ ##0.0_ ;[Red]\-#\ ##0.0\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98C-4882-A73D-516CB563F76D}"/>
            </c:ext>
          </c:extLst>
        </c:ser>
        <c:ser>
          <c:idx val="7"/>
          <c:order val="7"/>
          <c:tx>
            <c:strRef>
              <c:f>Ресурсы!$B$57</c:f>
              <c:strCache>
                <c:ptCount val="1"/>
                <c:pt idx="0">
                  <c:v>Теплоснабжение</c:v>
                </c:pt>
              </c:strCache>
            </c:strRef>
          </c:tx>
          <c:spPr>
            <a:solidFill>
              <a:schemeClr val="accent3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numRef>
              <c:f>Ресурсы!$F$3:$O$3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Ресурсы!$F$57:$O$57</c:f>
              <c:numCache>
                <c:formatCode>#\ ##0.0_ ;[Red]\-#\ ##0.0\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98C-4882-A73D-516CB563F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896280"/>
        <c:axId val="211895888"/>
      </c:barChart>
      <c:catAx>
        <c:axId val="211896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895888"/>
        <c:crosses val="autoZero"/>
        <c:auto val="1"/>
        <c:lblAlgn val="ctr"/>
        <c:lblOffset val="100"/>
        <c:noMultiLvlLbl val="0"/>
      </c:catAx>
      <c:valAx>
        <c:axId val="21189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89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Оплата труда с соц.взносами тыс.руб.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Персонал!$B$30</c:f>
              <c:strCache>
                <c:ptCount val="1"/>
                <c:pt idx="0">
                  <c:v>Основной производственный персонал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cat>
            <c:numRef>
              <c:f>Персонал!$F$3:$O$3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Персонал!$F$30:$O$30</c:f>
              <c:numCache>
                <c:formatCode>#\ ##0_ ;[Red]\-#\ ##0\ </c:formatCode>
                <c:ptCount val="10"/>
                <c:pt idx="0">
                  <c:v>25740</c:v>
                </c:pt>
                <c:pt idx="1">
                  <c:v>27181.440000000002</c:v>
                </c:pt>
                <c:pt idx="2">
                  <c:v>28703.600640000004</c:v>
                </c:pt>
                <c:pt idx="3">
                  <c:v>30311.002275840005</c:v>
                </c:pt>
                <c:pt idx="4">
                  <c:v>32008.418403287047</c:v>
                </c:pt>
                <c:pt idx="5">
                  <c:v>33800.88983387113</c:v>
                </c:pt>
                <c:pt idx="6">
                  <c:v>35693.739664567911</c:v>
                </c:pt>
                <c:pt idx="7">
                  <c:v>37692.589085783715</c:v>
                </c:pt>
                <c:pt idx="8">
                  <c:v>39803.374074587598</c:v>
                </c:pt>
                <c:pt idx="9">
                  <c:v>42032.363022764504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8D-42AA-8C0B-2C5AED5EBFC4}"/>
            </c:ext>
          </c:extLst>
        </c:ser>
        <c:ser>
          <c:idx val="1"/>
          <c:order val="1"/>
          <c:tx>
            <c:strRef>
              <c:f>Персонал!$B$31</c:f>
              <c:strCache>
                <c:ptCount val="1"/>
                <c:pt idx="0">
                  <c:v>Адм.-управленч. персонал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cat>
            <c:numRef>
              <c:f>Персонал!$F$3:$O$3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Персонал!$F$31:$O$31</c:f>
              <c:numCache>
                <c:formatCode>#\ ##0_ ;[Red]\-#\ ##0\ </c:formatCode>
                <c:ptCount val="10"/>
                <c:pt idx="0">
                  <c:v>24336</c:v>
                </c:pt>
                <c:pt idx="1">
                  <c:v>25698.815999999999</c:v>
                </c:pt>
                <c:pt idx="2">
                  <c:v>27137.949696</c:v>
                </c:pt>
                <c:pt idx="3">
                  <c:v>28657.674878975999</c:v>
                </c:pt>
                <c:pt idx="4">
                  <c:v>30262.504672198662</c:v>
                </c:pt>
                <c:pt idx="5">
                  <c:v>31957.204933841789</c:v>
                </c:pt>
                <c:pt idx="6">
                  <c:v>33746.808410136924</c:v>
                </c:pt>
                <c:pt idx="7">
                  <c:v>35636.62968110459</c:v>
                </c:pt>
                <c:pt idx="8">
                  <c:v>37632.280943246456</c:v>
                </c:pt>
                <c:pt idx="9">
                  <c:v>39739.688676068254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8D-42AA-8C0B-2C5AED5EB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890008"/>
        <c:axId val="211897064"/>
      </c:barChart>
      <c:catAx>
        <c:axId val="211890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11897064"/>
        <c:crosses val="autoZero"/>
        <c:auto val="1"/>
        <c:lblAlgn val="ctr"/>
        <c:lblOffset val="100"/>
        <c:noMultiLvlLbl val="0"/>
      </c:catAx>
      <c:valAx>
        <c:axId val="21189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1189000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Оплата труда с соц.взносами тыс.руб.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A3A3A3"/>
            </a:solidFill>
          </c:spPr>
          <c:explosion val="1"/>
          <c:dPt>
            <c:idx val="0"/>
            <c:bubble3D val="0"/>
            <c:spPr>
              <a:solidFill>
                <a:srgbClr val="A3A3A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6A-40B9-874A-EDD8DD833CC1}"/>
              </c:ext>
            </c:extLst>
          </c:dPt>
          <c:dPt>
            <c:idx val="1"/>
            <c:bubble3D val="0"/>
            <c:spPr>
              <a:solidFill>
                <a:srgbClr val="EC004F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6A-40B9-874A-EDD8DD833CC1}"/>
              </c:ext>
            </c:extLst>
          </c:dPt>
          <c:dLbls>
            <c:dLbl>
              <c:idx val="0"/>
              <c:layout>
                <c:manualLayout>
                  <c:x val="0.18125986370071054"/>
                  <c:y val="6.45905420991925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6A-40B9-874A-EDD8DD833CC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8433206478038361"/>
                  <c:y val="-5.997693194925029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6A-40B9-874A-EDD8DD833CC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Персонал!$B$30:$B$31</c:f>
              <c:strCache>
                <c:ptCount val="2"/>
                <c:pt idx="0">
                  <c:v>Основной производственный персонал</c:v>
                </c:pt>
                <c:pt idx="1">
                  <c:v>Адм.-управленч. персонал</c:v>
                </c:pt>
              </c:strCache>
            </c:strRef>
          </c:cat>
          <c:val>
            <c:numRef>
              <c:f>Персонал!$D$30:$D$31</c:f>
              <c:numCache>
                <c:formatCode>#\ ##0_ ;[Red]\-#\ ##0\ </c:formatCode>
                <c:ptCount val="2"/>
                <c:pt idx="0">
                  <c:v>332967.41700070194</c:v>
                </c:pt>
                <c:pt idx="1">
                  <c:v>314805.55789157271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06A-40B9-874A-EDD8DD833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КПЭ!$A$5</c:f>
          <c:strCache>
            <c:ptCount val="1"/>
            <c:pt idx="0">
              <c:v>Показатели эффективности проекта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КПЭ!$B$32</c:f>
              <c:strCache>
                <c:ptCount val="1"/>
                <c:pt idx="0">
                  <c:v>Свободный денежный поток</c:v>
                </c:pt>
              </c:strCache>
            </c:strRef>
          </c:tx>
          <c:spPr>
            <a:ln w="28575" cap="rnd">
              <a:solidFill>
                <a:srgbClr val="1C1C1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C1C1C"/>
              </a:solidFill>
              <a:ln w="9525"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2.6251711543050133E-2"/>
                  <c:y val="-4.7919139566702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900-45AC-93C0-7111C6EDCCB9}"/>
                </c:ext>
                <c:ext xmlns:c15="http://schemas.microsoft.com/office/drawing/2012/chart" uri="{CE6537A1-D6FC-4f65-9D91-7224C49458BB}"/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КПЭ!$F$3:$O$3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КПЭ!$F$33:$O$33</c:f>
              <c:numCache>
                <c:formatCode>#\ ##0_ ;[Red]\-#\ ##0\ </c:formatCode>
                <c:ptCount val="10"/>
                <c:pt idx="0">
                  <c:v>2472.3559999999998</c:v>
                </c:pt>
                <c:pt idx="1">
                  <c:v>8365.6039360000141</c:v>
                </c:pt>
                <c:pt idx="2">
                  <c:v>18966.899356416063</c:v>
                </c:pt>
                <c:pt idx="3">
                  <c:v>35701.433144375405</c:v>
                </c:pt>
                <c:pt idx="4">
                  <c:v>55697.564788620439</c:v>
                </c:pt>
                <c:pt idx="5">
                  <c:v>75710.116005493604</c:v>
                </c:pt>
                <c:pt idx="6">
                  <c:v>95695.87173908409</c:v>
                </c:pt>
                <c:pt idx="7">
                  <c:v>115607.43150827095</c:v>
                </c:pt>
                <c:pt idx="8">
                  <c:v>135392.90440762817</c:v>
                </c:pt>
                <c:pt idx="9">
                  <c:v>154995.58420376919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900-45AC-93C0-7111C6EDCCB9}"/>
            </c:ext>
          </c:extLst>
        </c:ser>
        <c:ser>
          <c:idx val="1"/>
          <c:order val="1"/>
          <c:tx>
            <c:strRef>
              <c:f>КПЭ!$B$6</c:f>
              <c:strCache>
                <c:ptCount val="1"/>
                <c:pt idx="0">
                  <c:v>#ДЕЛ/0!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C004F"/>
              </a:solidFill>
              <a:ln w="9525">
                <a:noFill/>
              </a:ln>
              <a:effectLst/>
            </c:spPr>
          </c:marker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КПЭ!$F$3:$O$3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КПЭ!$F$6:$O$6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900-45AC-93C0-7111C6EDC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87264"/>
        <c:axId val="211890400"/>
      </c:lineChart>
      <c:catAx>
        <c:axId val="21188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11890400"/>
        <c:crosses val="autoZero"/>
        <c:auto val="1"/>
        <c:lblAlgn val="ctr"/>
        <c:lblOffset val="100"/>
        <c:noMultiLvlLbl val="0"/>
      </c:catAx>
      <c:valAx>
        <c:axId val="21189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1188726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Денежные потоки (млн.руб.)</a:t>
            </a:r>
          </a:p>
        </c:rich>
      </c:tx>
      <c:layout>
        <c:manualLayout>
          <c:xMode val="edge"/>
          <c:yMode val="edge"/>
          <c:x val="0.35195445687288185"/>
          <c:y val="1.6949152542372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1792560291494431E-2"/>
          <c:y val="0.19563993060189513"/>
          <c:w val="0.9058701501539147"/>
          <c:h val="0.6581729614306685"/>
        </c:manualLayout>
      </c:layout>
      <c:lineChart>
        <c:grouping val="standard"/>
        <c:varyColors val="0"/>
        <c:ser>
          <c:idx val="0"/>
          <c:order val="0"/>
          <c:tx>
            <c:strRef>
              <c:f>Чувствительность!$B$83</c:f>
              <c:strCache>
                <c:ptCount val="1"/>
                <c:pt idx="0">
                  <c:v>Свободный денежный поток нарастающим итогом</c:v>
                </c:pt>
              </c:strCache>
            </c:strRef>
          </c:tx>
          <c:spPr>
            <a:ln w="28575" cap="rnd">
              <a:solidFill>
                <a:srgbClr val="1C1C1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C1C1C"/>
              </a:solidFill>
              <a:ln w="9525"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2.6251711543050133E-2"/>
                  <c:y val="-4.7919139566702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580-4773-BBBF-9944764DAF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397275650147839E-2"/>
                  <c:y val="-5.707638240135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DFA-4334-BF76-52295F09DC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Чувствительность!$F$3:$O$3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Чувствительность!$F$83:$O$83</c:f>
              <c:numCache>
                <c:formatCode>#\ ##0_ ;[Red]\-#\ ##0\ </c:formatCode>
                <c:ptCount val="10"/>
                <c:pt idx="0">
                  <c:v>-1229.5696000000025</c:v>
                </c:pt>
                <c:pt idx="1">
                  <c:v>398.58090240001911</c:v>
                </c:pt>
                <c:pt idx="2">
                  <c:v>5948.2860729344538</c:v>
                </c:pt>
                <c:pt idx="3">
                  <c:v>16822.051302618813</c:v>
                </c:pt>
                <c:pt idx="4">
                  <c:v>30278.406762829458</c:v>
                </c:pt>
                <c:pt idx="5">
                  <c:v>43464.85098957608</c:v>
                </c:pt>
                <c:pt idx="6">
                  <c:v>56325.330268215243</c:v>
                </c:pt>
                <c:pt idx="7">
                  <c:v>68799.014328660676</c:v>
                </c:pt>
                <c:pt idx="8">
                  <c:v>79778.622677468171</c:v>
                </c:pt>
                <c:pt idx="9">
                  <c:v>90243.713067757257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580-4773-BBBF-9944764DAFB8}"/>
            </c:ext>
          </c:extLst>
        </c:ser>
        <c:ser>
          <c:idx val="1"/>
          <c:order val="1"/>
          <c:tx>
            <c:strRef>
              <c:f>Чувствительность!$B$11</c:f>
              <c:strCache>
                <c:ptCount val="1"/>
                <c:pt idx="0">
                  <c:v>DCF накопленным итогом при ставке дисконтирования 0%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C004F"/>
              </a:solidFill>
              <a:ln w="9525">
                <a:noFill/>
              </a:ln>
              <a:effectLst/>
            </c:spPr>
          </c:marker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Чувствительность!$F$3:$O$3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Чувствительность!$F$11:$O$11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580-4773-BBBF-9944764DA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91968"/>
        <c:axId val="211892360"/>
      </c:lineChart>
      <c:catAx>
        <c:axId val="211891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11892360"/>
        <c:crosses val="autoZero"/>
        <c:auto val="1"/>
        <c:lblAlgn val="ctr"/>
        <c:lblOffset val="100"/>
        <c:noMultiLvlLbl val="0"/>
      </c:catAx>
      <c:valAx>
        <c:axId val="21189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1189196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400"/>
            </a:pPr>
            <a:r>
              <a:rPr lang="ru-RU" sz="1400"/>
              <a:t>Налоги и сборы (млн.руб.)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510939634230045"/>
          <c:y val="0.13053601554869326"/>
          <c:w val="0.4026780654073146"/>
          <c:h val="0.79731417774381641"/>
        </c:manualLayout>
      </c:layout>
      <c:doughnutChart>
        <c:varyColors val="1"/>
        <c:ser>
          <c:idx val="0"/>
          <c:order val="0"/>
          <c:spPr>
            <a:solidFill>
              <a:srgbClr val="A3A3A3"/>
            </a:solidFill>
          </c:spPr>
          <c:dPt>
            <c:idx val="0"/>
            <c:bubble3D val="0"/>
            <c:spPr>
              <a:solidFill>
                <a:srgbClr val="A3A3A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AF-4633-B4C6-16262D785984}"/>
              </c:ext>
            </c:extLst>
          </c:dPt>
          <c:dPt>
            <c:idx val="1"/>
            <c:bubble3D val="0"/>
            <c:spPr>
              <a:solidFill>
                <a:srgbClr val="EC004F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AF-4633-B4C6-16262D785984}"/>
              </c:ext>
            </c:extLst>
          </c:dPt>
          <c:dPt>
            <c:idx val="2"/>
            <c:bubble3D val="0"/>
            <c:spPr>
              <a:solidFill>
                <a:srgbClr val="1C1C1C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7AF-4633-B4C6-16262D785984}"/>
              </c:ext>
            </c:extLst>
          </c:dPt>
          <c:dLbls>
            <c:dLbl>
              <c:idx val="0"/>
              <c:layout>
                <c:manualLayout>
                  <c:x val="-0.15555555555555556"/>
                  <c:y val="-6.94444444444444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7AF-4633-B4C6-16262D7859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611111111111113"/>
                  <c:y val="-0.2453703703703704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AF-4633-B4C6-16262D7859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8333333333333326"/>
                  <c:y val="-9.72222222222222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7AF-4633-B4C6-16262D7859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243530050308989"/>
                  <c:y val="0.1664002341182393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AF-4633-B4C6-16262D78598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НалогСвод!$B$17:$B$20</c:f>
              <c:strCache>
                <c:ptCount val="4"/>
                <c:pt idx="0">
                  <c:v>федеральный бюджет</c:v>
                </c:pt>
                <c:pt idx="1">
                  <c:v>региональный обл. бюджет</c:v>
                </c:pt>
                <c:pt idx="2">
                  <c:v>местный бюджет</c:v>
                </c:pt>
                <c:pt idx="3">
                  <c:v>Страховые взносы</c:v>
                </c:pt>
              </c:strCache>
            </c:strRef>
          </c:cat>
          <c:val>
            <c:numRef>
              <c:f>НалогСвод!$E$17:$E$20</c:f>
              <c:numCache>
                <c:formatCode>General</c:formatCode>
                <c:ptCount val="4"/>
                <c:pt idx="0">
                  <c:v>78</c:v>
                </c:pt>
                <c:pt idx="1">
                  <c:v>63</c:v>
                </c:pt>
                <c:pt idx="2">
                  <c:v>10</c:v>
                </c:pt>
                <c:pt idx="3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7AF-4633-B4C6-16262D785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2"/>
        <c:holeSize val="75"/>
      </c:doughnutChart>
    </c:plotArea>
    <c:plotVisOnly val="1"/>
    <c:dispBlanksAs val="zero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solidFill>
        <a:srgbClr val="A3A3A3"/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НДФЛ (млн.руб.)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EC004F"/>
            </a:solidFill>
          </c:spPr>
          <c:dPt>
            <c:idx val="0"/>
            <c:bubble3D val="0"/>
            <c:spPr>
              <a:solidFill>
                <a:srgbClr val="A3A3A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0CC-473F-B784-08CDD5483412}"/>
              </c:ext>
            </c:extLst>
          </c:dPt>
          <c:dPt>
            <c:idx val="1"/>
            <c:bubble3D val="0"/>
            <c:spPr>
              <a:solidFill>
                <a:srgbClr val="EC004F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0CC-473F-B784-08CDD5483412}"/>
              </c:ext>
            </c:extLst>
          </c:dPt>
          <c:dLbls>
            <c:dLbl>
              <c:idx val="0"/>
              <c:layout>
                <c:manualLayout>
                  <c:x val="-0.16901709401709408"/>
                  <c:y val="6.5134150707090166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0CC-473F-B784-08CDD5483412}"/>
                </c:ext>
                <c:ext xmlns:c15="http://schemas.microsoft.com/office/drawing/2012/chart" uri="{CE6537A1-D6FC-4f65-9D91-7224C49458BB}">
                  <c15:layout>
                    <c:manualLayout>
                      <c:w val="0.23162393162393163"/>
                      <c:h val="0.3824677329520335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2252708796015891"/>
                  <c:y val="-6.995530779124883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0CC-473F-B784-08CDD5483412}"/>
                </c:ext>
                <c:ext xmlns:c15="http://schemas.microsoft.com/office/drawing/2012/chart" uri="{CE6537A1-D6FC-4f65-9D91-7224C49458BB}">
                  <c15:layout>
                    <c:manualLayout>
                      <c:w val="0.22026785113399286"/>
                      <c:h val="0.4373758219981105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Персонал!$B$53:$B$54</c:f>
              <c:strCache>
                <c:ptCount val="2"/>
                <c:pt idx="0">
                  <c:v>регион. бюджет</c:v>
                </c:pt>
                <c:pt idx="1">
                  <c:v>местный бюджет</c:v>
                </c:pt>
              </c:strCache>
            </c:strRef>
          </c:cat>
          <c:val>
            <c:numRef>
              <c:f>Персонал!$A$53:$A$54</c:f>
              <c:numCache>
                <c:formatCode>#\ ##0.0_ ;[Red]\-#\ ##0.0\ </c:formatCode>
                <c:ptCount val="2"/>
                <c:pt idx="0">
                  <c:v>54.81</c:v>
                </c:pt>
                <c:pt idx="1">
                  <c:v>9.9700000000000006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0CC-473F-B784-08CDD5483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7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Налог на прибыль (млн.руб.)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EC004F"/>
            </a:solidFill>
          </c:spPr>
          <c:dPt>
            <c:idx val="0"/>
            <c:bubble3D val="0"/>
            <c:spPr>
              <a:solidFill>
                <a:srgbClr val="A3A3A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48-4196-8F7A-99C78F206ADA}"/>
              </c:ext>
            </c:extLst>
          </c:dPt>
          <c:dPt>
            <c:idx val="1"/>
            <c:bubble3D val="0"/>
            <c:spPr>
              <a:solidFill>
                <a:srgbClr val="EC004F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48-4196-8F7A-99C78F206ADA}"/>
              </c:ext>
            </c:extLst>
          </c:dPt>
          <c:dLbls>
            <c:dLbl>
              <c:idx val="0"/>
              <c:layout>
                <c:manualLayout>
                  <c:x val="-0.18611111111111117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48-4196-8F7A-99C78F206A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1111111111111125"/>
                  <c:y val="-6.018518518518526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A48-4196-8F7A-99C78F206AD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НалПрибыль!$B$28:$B$29</c:f>
              <c:strCache>
                <c:ptCount val="2"/>
                <c:pt idx="0">
                  <c:v>фед. бюджет</c:v>
                </c:pt>
                <c:pt idx="1">
                  <c:v>рег. бюджет</c:v>
                </c:pt>
              </c:strCache>
            </c:strRef>
          </c:cat>
          <c:val>
            <c:numRef>
              <c:f>НалПрибыль!$A$28:$A$29</c:f>
              <c:numCache>
                <c:formatCode>#\ ##0.0_ ;[Red]\-#\ ##0.0\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48-4196-8F7A-99C78F206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7"/>
        <c:holeSize val="75"/>
      </c:doughnutChart>
    </c:plotArea>
    <c:plotVisOnly val="1"/>
    <c:dispBlanksAs val="zero"/>
    <c:showDLblsOverMax val="0"/>
    <c:extLst xmlns:c16r2="http://schemas.microsoft.com/office/drawing/2015/06/chart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Налоги и сборы (млн.руб.)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НалогСвод!$B$17</c:f>
              <c:strCache>
                <c:ptCount val="1"/>
                <c:pt idx="0">
                  <c:v>федеральный бюджет</c:v>
                </c:pt>
              </c:strCache>
            </c:strRef>
          </c:tx>
          <c:spPr>
            <a:solidFill>
              <a:schemeClr val="accent3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НалогСвод!$F$3:$O$3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НалогСвод!$F$17:$O$17</c:f>
              <c:numCache>
                <c:formatCode>#\ ##0_ ;[Red]\-#\ ##0\ </c:formatCode>
                <c:ptCount val="10"/>
                <c:pt idx="0">
                  <c:v>5500</c:v>
                </c:pt>
                <c:pt idx="1">
                  <c:v>6032</c:v>
                </c:pt>
                <c:pt idx="2">
                  <c:v>6597.7600000000011</c:v>
                </c:pt>
                <c:pt idx="3">
                  <c:v>7424.1024000000025</c:v>
                </c:pt>
                <c:pt idx="4">
                  <c:v>7896.545280000003</c:v>
                </c:pt>
                <c:pt idx="5">
                  <c:v>8212.4070912000025</c:v>
                </c:pt>
                <c:pt idx="6">
                  <c:v>8540.9033748480033</c:v>
                </c:pt>
                <c:pt idx="7">
                  <c:v>8882.5395098419231</c:v>
                </c:pt>
                <c:pt idx="8">
                  <c:v>9237.841090235599</c:v>
                </c:pt>
                <c:pt idx="9">
                  <c:v>9607.3547338450244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13-4C01-ABD0-BF4EE636AA1E}"/>
            </c:ext>
          </c:extLst>
        </c:ser>
        <c:ser>
          <c:idx val="1"/>
          <c:order val="1"/>
          <c:tx>
            <c:strRef>
              <c:f>НалогСвод!$B$18</c:f>
              <c:strCache>
                <c:ptCount val="1"/>
                <c:pt idx="0">
                  <c:v>региональный обл. бюджет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НалогСвод!$F$3:$O$3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НалогСвод!$F$18:$O$18</c:f>
              <c:numCache>
                <c:formatCode>#\ ##0_ ;[Red]\-#\ ##0\ </c:formatCode>
                <c:ptCount val="10"/>
                <c:pt idx="0">
                  <c:v>4367.3239999999996</c:v>
                </c:pt>
                <c:pt idx="1">
                  <c:v>4784.654144000001</c:v>
                </c:pt>
                <c:pt idx="2">
                  <c:v>5283.0171760640005</c:v>
                </c:pt>
                <c:pt idx="3">
                  <c:v>5870.4222339235857</c:v>
                </c:pt>
                <c:pt idx="4">
                  <c:v>6321.5060876633088</c:v>
                </c:pt>
                <c:pt idx="5">
                  <c:v>6617.4386496540528</c:v>
                </c:pt>
                <c:pt idx="6">
                  <c:v>6927.6205639595428</c:v>
                </c:pt>
                <c:pt idx="7">
                  <c:v>7252.7568794631352</c:v>
                </c:pt>
                <c:pt idx="8">
                  <c:v>7593.5884111918031</c:v>
                </c:pt>
                <c:pt idx="9">
                  <c:v>7950.8935945564281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13-4C01-ABD0-BF4EE636AA1E}"/>
            </c:ext>
          </c:extLst>
        </c:ser>
        <c:ser>
          <c:idx val="2"/>
          <c:order val="2"/>
          <c:tx>
            <c:strRef>
              <c:f>НалогСвод!$B$19</c:f>
              <c:strCache>
                <c:ptCount val="1"/>
                <c:pt idx="0">
                  <c:v>местный бюджет</c:v>
                </c:pt>
              </c:strCache>
            </c:strRef>
          </c:tx>
          <c:spPr>
            <a:solidFill>
              <a:schemeClr val="accent3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numRef>
              <c:f>НалогСвод!$F$3:$O$3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НалогСвод!$F$19:$O$19</c:f>
              <c:numCache>
                <c:formatCode>#\ ##0_ ;[Red]\-#\ ##0\ </c:formatCode>
                <c:ptCount val="10"/>
                <c:pt idx="0">
                  <c:v>770.4</c:v>
                </c:pt>
                <c:pt idx="1">
                  <c:v>813.54240000000004</c:v>
                </c:pt>
                <c:pt idx="2">
                  <c:v>859.10077440000009</c:v>
                </c:pt>
                <c:pt idx="3">
                  <c:v>907.21041776640004</c:v>
                </c:pt>
                <c:pt idx="4">
                  <c:v>958.01420116131862</c:v>
                </c:pt>
                <c:pt idx="5">
                  <c:v>1011.6629964263525</c:v>
                </c:pt>
                <c:pt idx="6">
                  <c:v>1068.3161242262283</c:v>
                </c:pt>
                <c:pt idx="7">
                  <c:v>1128.141827182897</c:v>
                </c:pt>
                <c:pt idx="8">
                  <c:v>1191.3177695051393</c:v>
                </c:pt>
                <c:pt idx="9">
                  <c:v>1258.0315645974272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13-4C01-ABD0-BF4EE636AA1E}"/>
            </c:ext>
          </c:extLst>
        </c:ser>
        <c:ser>
          <c:idx val="3"/>
          <c:order val="3"/>
          <c:tx>
            <c:strRef>
              <c:f>НалогСвод!$B$20</c:f>
              <c:strCache>
                <c:ptCount val="1"/>
                <c:pt idx="0">
                  <c:v>Страховые взносы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НалогСвод!$F$3:$O$3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НалогСвод!$F$20:$O$20</c:f>
              <c:numCache>
                <c:formatCode>#\ ##0_ ;[Red]\-#\ ##0\ </c:formatCode>
                <c:ptCount val="10"/>
                <c:pt idx="0">
                  <c:v>2927.52</c:v>
                </c:pt>
                <c:pt idx="1">
                  <c:v>3091.4611199999999</c:v>
                </c:pt>
                <c:pt idx="2">
                  <c:v>3264.5829427200006</c:v>
                </c:pt>
                <c:pt idx="3">
                  <c:v>3447.3995875123201</c:v>
                </c:pt>
                <c:pt idx="4">
                  <c:v>3640.4539644130109</c:v>
                </c:pt>
                <c:pt idx="5">
                  <c:v>3844.3193864201394</c:v>
                </c:pt>
                <c:pt idx="6">
                  <c:v>4059.6012720596673</c:v>
                </c:pt>
                <c:pt idx="7">
                  <c:v>4286.9389432950084</c:v>
                </c:pt>
                <c:pt idx="8">
                  <c:v>4527.0075241195291</c:v>
                </c:pt>
                <c:pt idx="9">
                  <c:v>4780.5199454702233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013-4C01-ABD0-BF4EE636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887656"/>
        <c:axId val="211886088"/>
      </c:barChart>
      <c:catAx>
        <c:axId val="21188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11886088"/>
        <c:crosses val="autoZero"/>
        <c:auto val="1"/>
        <c:lblAlgn val="ctr"/>
        <c:lblOffset val="100"/>
        <c:noMultiLvlLbl val="0"/>
      </c:catAx>
      <c:valAx>
        <c:axId val="211886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11887656"/>
        <c:crosses val="autoZero"/>
        <c:crossBetween val="between"/>
        <c:majorUnit val="10000"/>
        <c:dispUnits>
          <c:builtInUnit val="thousands"/>
        </c:dispUnits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400"/>
            </a:pPr>
            <a:r>
              <a:rPr lang="ru-RU" sz="1400"/>
              <a:t>Использование льгот по налогам и сборам (млн.руб.)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510939634230045"/>
          <c:y val="0.13053601554869326"/>
          <c:w val="0.4026780654073146"/>
          <c:h val="0.79731417774381641"/>
        </c:manualLayout>
      </c:layout>
      <c:doughnutChart>
        <c:varyColors val="1"/>
        <c:ser>
          <c:idx val="0"/>
          <c:order val="0"/>
          <c:spPr>
            <a:solidFill>
              <a:srgbClr val="A3A3A3"/>
            </a:solidFill>
          </c:spPr>
          <c:dPt>
            <c:idx val="0"/>
            <c:bubble3D val="0"/>
            <c:spPr>
              <a:solidFill>
                <a:srgbClr val="A3A3A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C1-406E-8C08-5AE99C869B6A}"/>
              </c:ext>
            </c:extLst>
          </c:dPt>
          <c:dPt>
            <c:idx val="1"/>
            <c:bubble3D val="0"/>
            <c:spPr>
              <a:solidFill>
                <a:srgbClr val="EC004F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C1-406E-8C08-5AE99C869B6A}"/>
              </c:ext>
            </c:extLst>
          </c:dPt>
          <c:dPt>
            <c:idx val="3"/>
            <c:bubble3D val="0"/>
            <c:spPr>
              <a:solidFill>
                <a:srgbClr val="1C1C1C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1C1-406E-8C08-5AE99C869B6A}"/>
              </c:ext>
            </c:extLst>
          </c:dPt>
          <c:dLbls>
            <c:dLbl>
              <c:idx val="0"/>
              <c:layout>
                <c:manualLayout>
                  <c:x val="0.25277777777777782"/>
                  <c:y val="4.166666666666657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1C1-406E-8C08-5AE99C869B6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3079503471569172"/>
                  <c:y val="3.71768768416493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1C1-406E-8C08-5AE99C869B6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2222222222222221"/>
                  <c:y val="-4.16666666666666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1C1-406E-8C08-5AE99C869B6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27235114471688859"/>
                  <c:y val="5.56563432760040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D1D-4A16-9064-F7CC78F01B4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НалогСвод!$B$24:$B$28</c:f>
              <c:strCache>
                <c:ptCount val="5"/>
                <c:pt idx="0">
                  <c:v>налога на прибыль в федеральный бюджет</c:v>
                </c:pt>
                <c:pt idx="1">
                  <c:v>налога на прибыль в региональный обл. бюджет</c:v>
                </c:pt>
                <c:pt idx="2">
                  <c:v>Усно</c:v>
                </c:pt>
                <c:pt idx="3">
                  <c:v>льгота по налогу на имущество</c:v>
                </c:pt>
                <c:pt idx="4">
                  <c:v>льгота по соц.взносам</c:v>
                </c:pt>
              </c:strCache>
            </c:strRef>
          </c:cat>
          <c:val>
            <c:numRef>
              <c:f>НалогСвод!$A$24:$A$28</c:f>
              <c:numCache>
                <c:formatCode>#\ ##0_ ;[Red]\-#\ ##0\ 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111.62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1C1-406E-8C08-5AE99C869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3"/>
        <c:holeSize val="75"/>
      </c:doughnutChart>
    </c:plotArea>
    <c:plotVisOnly val="1"/>
    <c:dispBlanksAs val="zero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solidFill>
        <a:srgbClr val="A3A3A3"/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Денежные потоки без льгот (млн.руб.)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КПЭбезЛьгот!$B$32</c:f>
              <c:strCache>
                <c:ptCount val="1"/>
                <c:pt idx="0">
                  <c:v>Ден.поток нарастающим итогом</c:v>
                </c:pt>
              </c:strCache>
            </c:strRef>
          </c:tx>
          <c:spPr>
            <a:ln w="28575" cap="rnd">
              <a:solidFill>
                <a:srgbClr val="1C1C1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C1C1C"/>
              </a:solidFill>
              <a:ln w="9525"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2.6251711543050133E-2"/>
                  <c:y val="-4.7919139566702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A86-46FF-B7D9-984611B82E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КПЭбезЛьгот!$F$3:$O$3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КПЭбезЛьгот!$F$32:$O$32</c:f>
              <c:numCache>
                <c:formatCode>#\ ##0_ ;[Red]\-#\ ##0\ </c:formatCode>
                <c:ptCount val="10"/>
                <c:pt idx="0">
                  <c:v>-6416.372000000003</c:v>
                </c:pt>
                <c:pt idx="1">
                  <c:v>-10255.140832000005</c:v>
                </c:pt>
                <c:pt idx="2">
                  <c:v>-10391.699918591999</c:v>
                </c:pt>
                <c:pt idx="3">
                  <c:v>-5579.452682033123</c:v>
                </c:pt>
                <c:pt idx="4">
                  <c:v>1582.063946653012</c:v>
                </c:pt>
                <c:pt idx="5">
                  <c:v>8157.4052649327787</c:v>
                </c:pt>
                <c:pt idx="6">
                  <c:v>14074.256645758898</c:v>
                </c:pt>
                <c:pt idx="7">
                  <c:v>19254.674290582887</c:v>
                </c:pt>
                <c:pt idx="8">
                  <c:v>23614.706813655474</c:v>
                </c:pt>
                <c:pt idx="9">
                  <c:v>27063.993107764167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0A86-46FF-B7D9-984611B82E6B}"/>
            </c:ext>
          </c:extLst>
        </c:ser>
        <c:ser>
          <c:idx val="1"/>
          <c:order val="1"/>
          <c:tx>
            <c:strRef>
              <c:f>КПЭбезЛьгот!$B$6</c:f>
              <c:strCache>
                <c:ptCount val="1"/>
                <c:pt idx="0">
                  <c:v>#ДЕЛ/0!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C004F"/>
              </a:solidFill>
              <a:ln w="9525">
                <a:noFill/>
              </a:ln>
              <a:effectLst/>
            </c:spPr>
          </c:marker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КПЭбезЛьгот!$F$3:$O$3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КПЭбезЛьгот!$F$6:$O$6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0A86-46FF-B7D9-984611B82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89224"/>
        <c:axId val="211893144"/>
      </c:lineChart>
      <c:catAx>
        <c:axId val="211889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11893144"/>
        <c:crosses val="autoZero"/>
        <c:auto val="1"/>
        <c:lblAlgn val="ctr"/>
        <c:lblOffset val="100"/>
        <c:noMultiLvlLbl val="0"/>
      </c:catAx>
      <c:valAx>
        <c:axId val="211893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11889224"/>
        <c:crosses val="autoZero"/>
        <c:crossBetween val="between"/>
        <c:dispUnits>
          <c:builtInUnit val="thousands"/>
        </c:dispUnits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Бюджет доходов и расходов без льгот млн.руб.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БДРбезЛьгот!$B$5</c:f>
              <c:strCache>
                <c:ptCount val="1"/>
                <c:pt idx="0">
                  <c:v>Выручка</c:v>
                </c:pt>
              </c:strCache>
            </c:strRef>
          </c:tx>
          <c:spPr>
            <a:solidFill>
              <a:schemeClr val="accent3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БДРбезЛьгот!$F$5:$O$5</c:f>
              <c:numCache>
                <c:formatCode>#\ ##0_ ;[Red]\-#\ ##0\ </c:formatCode>
                <c:ptCount val="10"/>
                <c:pt idx="0">
                  <c:v>110000</c:v>
                </c:pt>
                <c:pt idx="1">
                  <c:v>120640</c:v>
                </c:pt>
                <c:pt idx="2">
                  <c:v>131955.20000000001</c:v>
                </c:pt>
                <c:pt idx="3">
                  <c:v>148482.04800000004</c:v>
                </c:pt>
                <c:pt idx="4">
                  <c:v>157930.90560000006</c:v>
                </c:pt>
                <c:pt idx="5">
                  <c:v>164248.14182400005</c:v>
                </c:pt>
                <c:pt idx="6">
                  <c:v>170818.06749696005</c:v>
                </c:pt>
                <c:pt idx="7">
                  <c:v>177650.79019683844</c:v>
                </c:pt>
                <c:pt idx="8">
                  <c:v>184756.82180471197</c:v>
                </c:pt>
                <c:pt idx="9">
                  <c:v>192147.09467690048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9C-4FFB-B507-578A8AE6C5FE}"/>
            </c:ext>
          </c:extLst>
        </c:ser>
        <c:ser>
          <c:idx val="1"/>
          <c:order val="1"/>
          <c:tx>
            <c:strRef>
              <c:f>БДРбезЛьгот!$B$12</c:f>
              <c:strCache>
                <c:ptCount val="1"/>
                <c:pt idx="0">
                  <c:v>Валовая прибыль</c:v>
                </c:pt>
              </c:strCache>
            </c:strRef>
          </c:tx>
          <c:spPr>
            <a:solidFill>
              <a:schemeClr val="accent3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БДРбезЛьгот!$F$12:$O$12</c:f>
              <c:numCache>
                <c:formatCode>#\ ##0_ ;[Red]\-#\ ##0\ </c:formatCode>
                <c:ptCount val="10"/>
                <c:pt idx="0">
                  <c:v>31260</c:v>
                </c:pt>
                <c:pt idx="1">
                  <c:v>36258.559999999998</c:v>
                </c:pt>
                <c:pt idx="2">
                  <c:v>42681.999360000016</c:v>
                </c:pt>
                <c:pt idx="3">
                  <c:v>50679.205724160041</c:v>
                </c:pt>
                <c:pt idx="4">
                  <c:v>55730.973596712996</c:v>
                </c:pt>
                <c:pt idx="5">
                  <c:v>57448.077846128916</c:v>
                </c:pt>
                <c:pt idx="6">
                  <c:v>59205.186722632119</c:v>
                </c:pt>
                <c:pt idx="7">
                  <c:v>61002.294356904298</c:v>
                </c:pt>
                <c:pt idx="8">
                  <c:v>62839.304705807939</c:v>
                </c:pt>
                <c:pt idx="9">
                  <c:v>64716.022908846877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9C-4FFB-B507-578A8AE6C5FE}"/>
            </c:ext>
          </c:extLst>
        </c:ser>
        <c:ser>
          <c:idx val="2"/>
          <c:order val="2"/>
          <c:tx>
            <c:strRef>
              <c:f>БДРбезЛьгот!$B$17</c:f>
              <c:strCache>
                <c:ptCount val="1"/>
                <c:pt idx="0">
                  <c:v>Прибыль/убыток от продаж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БДРбезЛьгот!$F$17:$O$17</c:f>
              <c:numCache>
                <c:formatCode>#\ ##0_ ;[Red]\-#\ ##0\ </c:formatCode>
                <c:ptCount val="10"/>
                <c:pt idx="0">
                  <c:v>-3676</c:v>
                </c:pt>
                <c:pt idx="1">
                  <c:v>-464.25600000000122</c:v>
                </c:pt>
                <c:pt idx="2">
                  <c:v>4079.0896640000137</c:v>
                </c:pt>
                <c:pt idx="3">
                  <c:v>10097.972445184045</c:v>
                </c:pt>
                <c:pt idx="4">
                  <c:v>13067.968188514336</c:v>
                </c:pt>
                <c:pt idx="5">
                  <c:v>12594.352146847123</c:v>
                </c:pt>
                <c:pt idx="6">
                  <c:v>12045.996716437592</c:v>
                </c:pt>
                <c:pt idx="7">
                  <c:v>11416.787815899799</c:v>
                </c:pt>
                <c:pt idx="8">
                  <c:v>10700.191828265575</c:v>
                </c:pt>
                <c:pt idx="9">
                  <c:v>9889.2290211108775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59C-4FFB-B507-578A8AE6C5FE}"/>
            </c:ext>
          </c:extLst>
        </c:ser>
        <c:ser>
          <c:idx val="3"/>
          <c:order val="3"/>
          <c:tx>
            <c:strRef>
              <c:f>БДРбезЛьгот!$B$29</c:f>
              <c:strCache>
                <c:ptCount val="1"/>
                <c:pt idx="0">
                  <c:v>Чистая прибыль/убыток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БДРбезЛьгот!$F$29:$O$29</c:f>
              <c:numCache>
                <c:formatCode>#\ ##0_ ;[Red]\-#\ ##0\ </c:formatCode>
                <c:ptCount val="10"/>
                <c:pt idx="0">
                  <c:v>-6416.3719999999994</c:v>
                </c:pt>
                <c:pt idx="1">
                  <c:v>-3838.768832000002</c:v>
                </c:pt>
                <c:pt idx="2">
                  <c:v>-136.55908659198781</c:v>
                </c:pt>
                <c:pt idx="3">
                  <c:v>4812.2472365588865</c:v>
                </c:pt>
                <c:pt idx="4">
                  <c:v>7161.5166286861695</c:v>
                </c:pt>
                <c:pt idx="5">
                  <c:v>6575.3413182797794</c:v>
                </c:pt>
                <c:pt idx="6">
                  <c:v>5916.8513808261287</c:v>
                </c:pt>
                <c:pt idx="7">
                  <c:v>5180.4176448239687</c:v>
                </c:pt>
                <c:pt idx="8">
                  <c:v>4360.0325230725703</c:v>
                </c:pt>
                <c:pt idx="9">
                  <c:v>3449.2862941086537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59C-4FFB-B507-578A8AE6C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893928"/>
        <c:axId val="211901376"/>
      </c:barChart>
      <c:catAx>
        <c:axId val="211893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11901376"/>
        <c:crosses val="autoZero"/>
        <c:auto val="1"/>
        <c:lblAlgn val="ctr"/>
        <c:lblOffset val="100"/>
        <c:noMultiLvlLbl val="0"/>
      </c:catAx>
      <c:valAx>
        <c:axId val="21190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11893928"/>
        <c:crosses val="autoZero"/>
        <c:crossBetween val="between"/>
        <c:dispUnits>
          <c:builtInUnit val="thousands"/>
        </c:dispUnits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Бюджет доходов и расходов. Рентабельность. Без льгот.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БДРбезЛьгот!$B$13</c:f>
              <c:strCache>
                <c:ptCount val="1"/>
                <c:pt idx="0">
                  <c:v>рент-ть по валовой прибыли</c:v>
                </c:pt>
              </c:strCache>
            </c:strRef>
          </c:tx>
          <c:spPr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БДРбезЛьгот!$F$13:$O$13</c:f>
              <c:numCache>
                <c:formatCode>0%</c:formatCode>
                <c:ptCount val="10"/>
                <c:pt idx="0">
                  <c:v>0.2841818181818182</c:v>
                </c:pt>
                <c:pt idx="1">
                  <c:v>0.30055172413793102</c:v>
                </c:pt>
                <c:pt idx="2">
                  <c:v>0.32345825977301396</c:v>
                </c:pt>
                <c:pt idx="3">
                  <c:v>0.34131537385691252</c:v>
                </c:pt>
                <c:pt idx="4">
                  <c:v>0.35288199852323887</c:v>
                </c:pt>
                <c:pt idx="5">
                  <c:v>0.34976394379966474</c:v>
                </c:pt>
                <c:pt idx="6">
                  <c:v>0.34659791900342019</c:v>
                </c:pt>
                <c:pt idx="7">
                  <c:v>0.34338318613338725</c:v>
                </c:pt>
                <c:pt idx="8">
                  <c:v>0.34011899583458471</c:v>
                </c:pt>
                <c:pt idx="9">
                  <c:v>0.33680458722349288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1DB-48C7-A8CC-74578B3A7626}"/>
            </c:ext>
          </c:extLst>
        </c:ser>
        <c:ser>
          <c:idx val="1"/>
          <c:order val="1"/>
          <c:tx>
            <c:strRef>
              <c:f>БДРбезЛьгот!$B$18</c:f>
              <c:strCache>
                <c:ptCount val="1"/>
                <c:pt idx="0">
                  <c:v>рент-ть по прибыли от продаж</c:v>
                </c:pt>
              </c:strCache>
            </c:strRef>
          </c:tx>
          <c:spPr>
            <a:effectLst/>
          </c:spPr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БДРбезЛьгот!$F$18:$O$18</c:f>
              <c:numCache>
                <c:formatCode>0%</c:formatCode>
                <c:ptCount val="10"/>
                <c:pt idx="0">
                  <c:v>-3.3418181818181819E-2</c:v>
                </c:pt>
                <c:pt idx="1">
                  <c:v>-3.8482758620689756E-3</c:v>
                </c:pt>
                <c:pt idx="2">
                  <c:v>3.0912686002522168E-2</c:v>
                </c:pt>
                <c:pt idx="3">
                  <c:v>6.8008035861574612E-2</c:v>
                </c:pt>
                <c:pt idx="4">
                  <c:v>8.2744844265075446E-2</c:v>
                </c:pt>
                <c:pt idx="5">
                  <c:v>7.6678810530122099E-2</c:v>
                </c:pt>
                <c:pt idx="6">
                  <c:v>7.0519453199246435E-2</c:v>
                </c:pt>
                <c:pt idx="7">
                  <c:v>6.4265336524818778E-2</c:v>
                </c:pt>
                <c:pt idx="8">
                  <c:v>5.7915002670784636E-2</c:v>
                </c:pt>
                <c:pt idx="9">
                  <c:v>5.146697137284241E-2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C1DB-48C7-A8CC-74578B3A7626}"/>
            </c:ext>
          </c:extLst>
        </c:ser>
        <c:ser>
          <c:idx val="2"/>
          <c:order val="2"/>
          <c:tx>
            <c:strRef>
              <c:f>БДРбезЛьгот!$B$30</c:f>
              <c:strCache>
                <c:ptCount val="1"/>
                <c:pt idx="0">
                  <c:v>рент-ть по чистой прибыли</c:v>
                </c:pt>
              </c:strCache>
            </c:strRef>
          </c:tx>
          <c:spPr>
            <a:ln>
              <a:solidFill>
                <a:srgbClr val="EC004F"/>
              </a:solidFill>
            </a:ln>
            <a:effectLst/>
          </c:spPr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БДРбезЛьгот!$F$30:$O$30</c:f>
              <c:numCache>
                <c:formatCode>0%</c:formatCode>
                <c:ptCount val="10"/>
                <c:pt idx="0">
                  <c:v>-5.8330654545454538E-2</c:v>
                </c:pt>
                <c:pt idx="1">
                  <c:v>-3.1820033421750681E-2</c:v>
                </c:pt>
                <c:pt idx="2">
                  <c:v>-1.0348897701037002E-3</c:v>
                </c:pt>
                <c:pt idx="3">
                  <c:v>3.2409623260038045E-2</c:v>
                </c:pt>
                <c:pt idx="4">
                  <c:v>4.5345884654296356E-2</c:v>
                </c:pt>
                <c:pt idx="5">
                  <c:v>4.0032972338436439E-2</c:v>
                </c:pt>
                <c:pt idx="6">
                  <c:v>3.4638322910024888E-2</c:v>
                </c:pt>
                <c:pt idx="7">
                  <c:v>2.9160678875022317E-2</c:v>
                </c:pt>
                <c:pt idx="8">
                  <c:v>2.3598763393327508E-2</c:v>
                </c:pt>
                <c:pt idx="9">
                  <c:v>1.7951279981145193E-2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C1DB-48C7-A8CC-74578B3A7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99808"/>
        <c:axId val="211898240"/>
      </c:lineChart>
      <c:catAx>
        <c:axId val="21189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11898240"/>
        <c:crosses val="autoZero"/>
        <c:auto val="1"/>
        <c:lblAlgn val="ctr"/>
        <c:lblOffset val="100"/>
        <c:noMultiLvlLbl val="0"/>
      </c:catAx>
      <c:valAx>
        <c:axId val="21189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11899808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АКТИВЫ (без льгот)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БалансбезЛьгот!$A$5:$B$5</c:f>
              <c:strCache>
                <c:ptCount val="2"/>
                <c:pt idx="0">
                  <c:v>I</c:v>
                </c:pt>
                <c:pt idx="1">
                  <c:v>Внеоборотные активы</c:v>
                </c:pt>
              </c:strCache>
            </c:strRef>
          </c:tx>
          <c:spPr>
            <a:solidFill>
              <a:srgbClr val="1C1C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БалансбезЛьгот!$F$5:$O$5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C5-409C-BD0E-268F559D17EE}"/>
            </c:ext>
          </c:extLst>
        </c:ser>
        <c:ser>
          <c:idx val="1"/>
          <c:order val="1"/>
          <c:tx>
            <c:strRef>
              <c:f>БалансбезЛьгот!$A$12:$B$12</c:f>
              <c:strCache>
                <c:ptCount val="2"/>
                <c:pt idx="0">
                  <c:v>II</c:v>
                </c:pt>
                <c:pt idx="1">
                  <c:v>Оборотные активы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БалансбезЛьгот!$F$12:$O$12</c:f>
              <c:numCache>
                <c:formatCode>#\ ##0_ ;[Red]\-#\ ##0\ </c:formatCode>
                <c:ptCount val="10"/>
                <c:pt idx="0">
                  <c:v>3583.627999999997</c:v>
                </c:pt>
                <c:pt idx="1">
                  <c:v>-255.14083200000459</c:v>
                </c:pt>
                <c:pt idx="2">
                  <c:v>-391.69991859199945</c:v>
                </c:pt>
                <c:pt idx="3">
                  <c:v>4420.547317966877</c:v>
                </c:pt>
                <c:pt idx="4">
                  <c:v>11582.063946653012</c:v>
                </c:pt>
                <c:pt idx="5">
                  <c:v>28157.405264932779</c:v>
                </c:pt>
                <c:pt idx="6">
                  <c:v>34074.256645758898</c:v>
                </c:pt>
                <c:pt idx="7">
                  <c:v>39254.674290582887</c:v>
                </c:pt>
                <c:pt idx="8">
                  <c:v>43614.706813655474</c:v>
                </c:pt>
                <c:pt idx="9">
                  <c:v>47063.993107764167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C5-409C-BD0E-268F559D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1899024"/>
        <c:axId val="211899416"/>
      </c:barChart>
      <c:lineChart>
        <c:grouping val="standard"/>
        <c:varyColors val="0"/>
        <c:ser>
          <c:idx val="2"/>
          <c:order val="2"/>
          <c:tx>
            <c:v>`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БалансбезЛьгот!$F$21:$O$21</c:f>
              <c:numCache>
                <c:formatCode>#\ ##0_ ;[Red]\-#\ ##0\ </c:formatCode>
                <c:ptCount val="10"/>
                <c:pt idx="0">
                  <c:v>3583.627999999997</c:v>
                </c:pt>
                <c:pt idx="1">
                  <c:v>-255.14083200000459</c:v>
                </c:pt>
                <c:pt idx="2">
                  <c:v>-391.69991859199945</c:v>
                </c:pt>
                <c:pt idx="3">
                  <c:v>4420.547317966877</c:v>
                </c:pt>
                <c:pt idx="4">
                  <c:v>11582.063946653012</c:v>
                </c:pt>
                <c:pt idx="5">
                  <c:v>28157.405264932779</c:v>
                </c:pt>
                <c:pt idx="6">
                  <c:v>34074.256645758898</c:v>
                </c:pt>
                <c:pt idx="7">
                  <c:v>39254.674290582887</c:v>
                </c:pt>
                <c:pt idx="8">
                  <c:v>43614.706813655474</c:v>
                </c:pt>
                <c:pt idx="9">
                  <c:v>47063.993107764167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4C5-409C-BD0E-268F559D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99024"/>
        <c:axId val="211899416"/>
      </c:lineChart>
      <c:catAx>
        <c:axId val="211899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11899416"/>
        <c:crosses val="autoZero"/>
        <c:auto val="1"/>
        <c:lblAlgn val="ctr"/>
        <c:lblOffset val="100"/>
        <c:noMultiLvlLbl val="0"/>
      </c:catAx>
      <c:valAx>
        <c:axId val="211899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11899024"/>
        <c:crosses val="autoZero"/>
        <c:crossBetween val="between"/>
        <c:minorUnit val="20000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.16259986399565032"/>
          <c:y val="0.88946704578594316"/>
          <c:w val="0.74596780422643361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КАПИТАЛ И ОБЯЗАТЕЛЬСТВА (без льгот)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БалансбезЛьгот!$A$23:$B$23</c:f>
              <c:strCache>
                <c:ptCount val="2"/>
                <c:pt idx="0">
                  <c:v>III</c:v>
                </c:pt>
                <c:pt idx="1">
                  <c:v>Капитал</c:v>
                </c:pt>
              </c:strCache>
            </c:strRef>
          </c:tx>
          <c:spPr>
            <a:solidFill>
              <a:srgbClr val="1C1C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БалансбезЛьгот!$F$23:$O$23</c:f>
              <c:numCache>
                <c:formatCode>#\ ##0_ ;[Red]\-#\ ##0\ </c:formatCode>
                <c:ptCount val="10"/>
                <c:pt idx="0">
                  <c:v>3583.6280000000006</c:v>
                </c:pt>
                <c:pt idx="1">
                  <c:v>-255.14083200000096</c:v>
                </c:pt>
                <c:pt idx="2">
                  <c:v>-391.69991859198853</c:v>
                </c:pt>
                <c:pt idx="3">
                  <c:v>4420.5473179668979</c:v>
                </c:pt>
                <c:pt idx="4">
                  <c:v>11582.063946653067</c:v>
                </c:pt>
                <c:pt idx="5">
                  <c:v>28157.405264932848</c:v>
                </c:pt>
                <c:pt idx="6">
                  <c:v>34074.256645758971</c:v>
                </c:pt>
                <c:pt idx="7">
                  <c:v>39254.674290582945</c:v>
                </c:pt>
                <c:pt idx="8">
                  <c:v>43614.706813655517</c:v>
                </c:pt>
                <c:pt idx="9">
                  <c:v>47063.993107764167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B5-48EB-A65E-1AA4ADC688EA}"/>
            </c:ext>
          </c:extLst>
        </c:ser>
        <c:ser>
          <c:idx val="1"/>
          <c:order val="1"/>
          <c:tx>
            <c:strRef>
              <c:f>БалансбезЛьгот!$A$26:$B$26</c:f>
              <c:strCache>
                <c:ptCount val="2"/>
                <c:pt idx="0">
                  <c:v>IV</c:v>
                </c:pt>
                <c:pt idx="1">
                  <c:v>Долгосрочные обязательства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БалансбезЛьгот!$F$26:$O$26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B5-48EB-A65E-1AA4ADC688EA}"/>
            </c:ext>
          </c:extLst>
        </c:ser>
        <c:ser>
          <c:idx val="2"/>
          <c:order val="2"/>
          <c:tx>
            <c:strRef>
              <c:f>БалансбезЛьгот!$A$31:$B$31</c:f>
              <c:strCache>
                <c:ptCount val="2"/>
                <c:pt idx="0">
                  <c:v>V</c:v>
                </c:pt>
                <c:pt idx="1">
                  <c:v>Краткосрочные обязательства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БалансбезЛьгот!$F$31:$O$31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6B5-48EB-A65E-1AA4ADC68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1900984"/>
        <c:axId val="570667352"/>
      </c:barChart>
      <c:lineChart>
        <c:grouping val="standard"/>
        <c:varyColors val="0"/>
        <c:ser>
          <c:idx val="3"/>
          <c:order val="3"/>
          <c:tx>
            <c:v>`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БалансбезЛьгот!$F$40:$O$40</c:f>
              <c:numCache>
                <c:formatCode>#\ ##0_ ;[Red]\-#\ ##0\ </c:formatCode>
                <c:ptCount val="10"/>
                <c:pt idx="0">
                  <c:v>3583.6280000000006</c:v>
                </c:pt>
                <c:pt idx="1">
                  <c:v>-255.14083200000096</c:v>
                </c:pt>
                <c:pt idx="2">
                  <c:v>-391.69991859198853</c:v>
                </c:pt>
                <c:pt idx="3">
                  <c:v>4420.5473179668979</c:v>
                </c:pt>
                <c:pt idx="4">
                  <c:v>11582.063946653067</c:v>
                </c:pt>
                <c:pt idx="5">
                  <c:v>28157.405264932848</c:v>
                </c:pt>
                <c:pt idx="6">
                  <c:v>34074.256645758971</c:v>
                </c:pt>
                <c:pt idx="7">
                  <c:v>39254.674290582945</c:v>
                </c:pt>
                <c:pt idx="8">
                  <c:v>43614.706813655517</c:v>
                </c:pt>
                <c:pt idx="9">
                  <c:v>47063.993107764167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6B5-48EB-A65E-1AA4ADC68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00984"/>
        <c:axId val="570667352"/>
      </c:lineChart>
      <c:catAx>
        <c:axId val="211900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70667352"/>
        <c:crosses val="autoZero"/>
        <c:auto val="1"/>
        <c:lblAlgn val="ctr"/>
        <c:lblOffset val="100"/>
        <c:noMultiLvlLbl val="0"/>
      </c:catAx>
      <c:valAx>
        <c:axId val="57066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11900984"/>
        <c:crosses val="autoZero"/>
        <c:crossBetween val="between"/>
        <c:minorUnit val="20000"/>
        <c:dispUnits>
          <c:builtInUnit val="thousands"/>
        </c:dispUnits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Денежные потоки без льгот (млн.руб.)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КПЭбезЛьгот!$B$32</c:f>
              <c:strCache>
                <c:ptCount val="1"/>
                <c:pt idx="0">
                  <c:v>Ден.поток нарастающим итогом</c:v>
                </c:pt>
              </c:strCache>
            </c:strRef>
          </c:tx>
          <c:spPr>
            <a:ln w="28575" cap="rnd">
              <a:solidFill>
                <a:srgbClr val="1C1C1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C1C1C"/>
              </a:solidFill>
              <a:ln w="9525"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2.6251711543050133E-2"/>
                  <c:y val="-4.7919139566702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573-4513-9C01-8BCB196332E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КПЭбезЛьгот!$F$3:$O$3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КПЭбезЛьгот!$F$32:$O$32</c:f>
              <c:numCache>
                <c:formatCode>#\ ##0_ ;[Red]\-#\ ##0\ </c:formatCode>
                <c:ptCount val="10"/>
                <c:pt idx="0">
                  <c:v>-6416.372000000003</c:v>
                </c:pt>
                <c:pt idx="1">
                  <c:v>-10255.140832000005</c:v>
                </c:pt>
                <c:pt idx="2">
                  <c:v>-10391.699918591999</c:v>
                </c:pt>
                <c:pt idx="3">
                  <c:v>-5579.452682033123</c:v>
                </c:pt>
                <c:pt idx="4">
                  <c:v>1582.063946653012</c:v>
                </c:pt>
                <c:pt idx="5">
                  <c:v>8157.4052649327787</c:v>
                </c:pt>
                <c:pt idx="6">
                  <c:v>14074.256645758898</c:v>
                </c:pt>
                <c:pt idx="7">
                  <c:v>19254.674290582887</c:v>
                </c:pt>
                <c:pt idx="8">
                  <c:v>23614.706813655474</c:v>
                </c:pt>
                <c:pt idx="9">
                  <c:v>27063.993107764167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573-4513-9C01-8BCB196332E2}"/>
            </c:ext>
          </c:extLst>
        </c:ser>
        <c:ser>
          <c:idx val="1"/>
          <c:order val="1"/>
          <c:tx>
            <c:strRef>
              <c:f>КПЭбезЛьгот!$B$6</c:f>
              <c:strCache>
                <c:ptCount val="1"/>
                <c:pt idx="0">
                  <c:v>#ДЕЛ/0!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C004F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КПЭбезЛьгот!$F$3:$O$3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КПЭбезЛьгот!$F$6:$O$6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C573-4513-9C01-8BCB19633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659904"/>
        <c:axId val="570668136"/>
      </c:lineChart>
      <c:catAx>
        <c:axId val="57065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70668136"/>
        <c:crosses val="autoZero"/>
        <c:auto val="1"/>
        <c:lblAlgn val="ctr"/>
        <c:lblOffset val="100"/>
        <c:noMultiLvlLbl val="0"/>
      </c:catAx>
      <c:valAx>
        <c:axId val="57066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70659904"/>
        <c:crosses val="autoZero"/>
        <c:crossBetween val="between"/>
        <c:dispUnits>
          <c:builtInUnit val="thousands"/>
        </c:dispUnits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АКТИВЫ</a:t>
            </a:r>
          </a:p>
        </c:rich>
      </c:tx>
      <c:layout>
        <c:manualLayout>
          <c:xMode val="edge"/>
          <c:yMode val="edge"/>
          <c:x val="0.37887899519901092"/>
          <c:y val="2.4134007210557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БалансбезЛьгот!$A$5:$B$5</c:f>
              <c:strCache>
                <c:ptCount val="2"/>
                <c:pt idx="0">
                  <c:v>I</c:v>
                </c:pt>
                <c:pt idx="1">
                  <c:v>Внеоборотные активы</c:v>
                </c:pt>
              </c:strCache>
            </c:strRef>
          </c:tx>
          <c:spPr>
            <a:solidFill>
              <a:srgbClr val="1C1C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БалансбезЛьгот!$F$5:$O$5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6A-4FE8-83E4-2FD14341F782}"/>
            </c:ext>
          </c:extLst>
        </c:ser>
        <c:ser>
          <c:idx val="1"/>
          <c:order val="1"/>
          <c:tx>
            <c:strRef>
              <c:f>БалансбезЛьгот!$A$12:$B$12</c:f>
              <c:strCache>
                <c:ptCount val="2"/>
                <c:pt idx="0">
                  <c:v>II</c:v>
                </c:pt>
                <c:pt idx="1">
                  <c:v>Оборотные активы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БалансбезЛьгот!$F$12:$O$12</c:f>
              <c:numCache>
                <c:formatCode>#\ ##0_ ;[Red]\-#\ ##0\ </c:formatCode>
                <c:ptCount val="10"/>
                <c:pt idx="0">
                  <c:v>3583.627999999997</c:v>
                </c:pt>
                <c:pt idx="1">
                  <c:v>-255.14083200000459</c:v>
                </c:pt>
                <c:pt idx="2">
                  <c:v>-391.69991859199945</c:v>
                </c:pt>
                <c:pt idx="3">
                  <c:v>4420.547317966877</c:v>
                </c:pt>
                <c:pt idx="4">
                  <c:v>11582.063946653012</c:v>
                </c:pt>
                <c:pt idx="5">
                  <c:v>28157.405264932779</c:v>
                </c:pt>
                <c:pt idx="6">
                  <c:v>34074.256645758898</c:v>
                </c:pt>
                <c:pt idx="7">
                  <c:v>39254.674290582887</c:v>
                </c:pt>
                <c:pt idx="8">
                  <c:v>43614.706813655474</c:v>
                </c:pt>
                <c:pt idx="9">
                  <c:v>47063.993107764167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6A-4FE8-83E4-2FD14341F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70660296"/>
        <c:axId val="570668528"/>
      </c:barChart>
      <c:lineChart>
        <c:grouping val="standard"/>
        <c:varyColors val="0"/>
        <c:ser>
          <c:idx val="2"/>
          <c:order val="2"/>
          <c:tx>
            <c:v>`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БалансбезЛьгот!$F$21:$O$21</c:f>
              <c:numCache>
                <c:formatCode>#\ ##0_ ;[Red]\-#\ ##0\ </c:formatCode>
                <c:ptCount val="10"/>
                <c:pt idx="0">
                  <c:v>3583.627999999997</c:v>
                </c:pt>
                <c:pt idx="1">
                  <c:v>-255.14083200000459</c:v>
                </c:pt>
                <c:pt idx="2">
                  <c:v>-391.69991859199945</c:v>
                </c:pt>
                <c:pt idx="3">
                  <c:v>4420.547317966877</c:v>
                </c:pt>
                <c:pt idx="4">
                  <c:v>11582.063946653012</c:v>
                </c:pt>
                <c:pt idx="5">
                  <c:v>28157.405264932779</c:v>
                </c:pt>
                <c:pt idx="6">
                  <c:v>34074.256645758898</c:v>
                </c:pt>
                <c:pt idx="7">
                  <c:v>39254.674290582887</c:v>
                </c:pt>
                <c:pt idx="8">
                  <c:v>43614.706813655474</c:v>
                </c:pt>
                <c:pt idx="9">
                  <c:v>47063.993107764167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A6A-4FE8-83E4-2FD14341F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660296"/>
        <c:axId val="570668528"/>
      </c:lineChart>
      <c:catAx>
        <c:axId val="570660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70668528"/>
        <c:crosses val="autoZero"/>
        <c:auto val="1"/>
        <c:lblAlgn val="ctr"/>
        <c:lblOffset val="100"/>
        <c:noMultiLvlLbl val="0"/>
      </c:catAx>
      <c:valAx>
        <c:axId val="57066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70660296"/>
        <c:crosses val="autoZero"/>
        <c:crossBetween val="between"/>
        <c:minorUnit val="20000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.28762388534240801"/>
          <c:y val="0.88946704578594316"/>
          <c:w val="0.4247522293151842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КАПИТАЛ И ОБЯЗАТЕЛЬСТВА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БалансбезЛьгот!$A$23:$B$23</c:f>
              <c:strCache>
                <c:ptCount val="2"/>
                <c:pt idx="0">
                  <c:v>III</c:v>
                </c:pt>
                <c:pt idx="1">
                  <c:v>Капитал</c:v>
                </c:pt>
              </c:strCache>
            </c:strRef>
          </c:tx>
          <c:spPr>
            <a:solidFill>
              <a:srgbClr val="1C1C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БалансбезЛьгот!$F$23:$O$23</c:f>
              <c:numCache>
                <c:formatCode>#\ ##0_ ;[Red]\-#\ ##0\ </c:formatCode>
                <c:ptCount val="10"/>
                <c:pt idx="0">
                  <c:v>3583.6280000000006</c:v>
                </c:pt>
                <c:pt idx="1">
                  <c:v>-255.14083200000096</c:v>
                </c:pt>
                <c:pt idx="2">
                  <c:v>-391.69991859198853</c:v>
                </c:pt>
                <c:pt idx="3">
                  <c:v>4420.5473179668979</c:v>
                </c:pt>
                <c:pt idx="4">
                  <c:v>11582.063946653067</c:v>
                </c:pt>
                <c:pt idx="5">
                  <c:v>28157.405264932848</c:v>
                </c:pt>
                <c:pt idx="6">
                  <c:v>34074.256645758971</c:v>
                </c:pt>
                <c:pt idx="7">
                  <c:v>39254.674290582945</c:v>
                </c:pt>
                <c:pt idx="8">
                  <c:v>43614.706813655517</c:v>
                </c:pt>
                <c:pt idx="9">
                  <c:v>47063.993107764167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47-4862-9080-794CA87ABA32}"/>
            </c:ext>
          </c:extLst>
        </c:ser>
        <c:ser>
          <c:idx val="1"/>
          <c:order val="1"/>
          <c:tx>
            <c:strRef>
              <c:f>БалансбезЛьгот!$A$26:$B$26</c:f>
              <c:strCache>
                <c:ptCount val="2"/>
                <c:pt idx="0">
                  <c:v>IV</c:v>
                </c:pt>
                <c:pt idx="1">
                  <c:v>Долгосрочные обязательства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БалансбезЛьгот!$F$26:$O$26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47-4862-9080-794CA87ABA32}"/>
            </c:ext>
          </c:extLst>
        </c:ser>
        <c:ser>
          <c:idx val="2"/>
          <c:order val="2"/>
          <c:tx>
            <c:strRef>
              <c:f>БалансбезЛьгот!$A$31:$B$31</c:f>
              <c:strCache>
                <c:ptCount val="2"/>
                <c:pt idx="0">
                  <c:v>V</c:v>
                </c:pt>
                <c:pt idx="1">
                  <c:v>Краткосрочные обязательства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БалансбезЛьгот!$F$31:$O$31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E47-4862-9080-794CA87A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70665000"/>
        <c:axId val="570666176"/>
      </c:barChart>
      <c:lineChart>
        <c:grouping val="standard"/>
        <c:varyColors val="0"/>
        <c:ser>
          <c:idx val="3"/>
          <c:order val="3"/>
          <c:tx>
            <c:v>`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БалансбезЛьгот!$F$40:$O$40</c:f>
              <c:numCache>
                <c:formatCode>#\ ##0_ ;[Red]\-#\ ##0\ </c:formatCode>
                <c:ptCount val="10"/>
                <c:pt idx="0">
                  <c:v>3583.6280000000006</c:v>
                </c:pt>
                <c:pt idx="1">
                  <c:v>-255.14083200000096</c:v>
                </c:pt>
                <c:pt idx="2">
                  <c:v>-391.69991859198853</c:v>
                </c:pt>
                <c:pt idx="3">
                  <c:v>4420.5473179668979</c:v>
                </c:pt>
                <c:pt idx="4">
                  <c:v>11582.063946653067</c:v>
                </c:pt>
                <c:pt idx="5">
                  <c:v>28157.405264932848</c:v>
                </c:pt>
                <c:pt idx="6">
                  <c:v>34074.256645758971</c:v>
                </c:pt>
                <c:pt idx="7">
                  <c:v>39254.674290582945</c:v>
                </c:pt>
                <c:pt idx="8">
                  <c:v>43614.706813655517</c:v>
                </c:pt>
                <c:pt idx="9">
                  <c:v>47063.993107764167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E47-4862-9080-794CA87A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665000"/>
        <c:axId val="570666176"/>
      </c:lineChart>
      <c:catAx>
        <c:axId val="570665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70666176"/>
        <c:crosses val="autoZero"/>
        <c:auto val="1"/>
        <c:lblAlgn val="ctr"/>
        <c:lblOffset val="100"/>
        <c:noMultiLvlLbl val="0"/>
      </c:catAx>
      <c:valAx>
        <c:axId val="57066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70665000"/>
        <c:crosses val="autoZero"/>
        <c:crossBetween val="between"/>
        <c:minorUnit val="20000"/>
        <c:dispUnits>
          <c:builtInUnit val="thousands"/>
        </c:dispUnits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Налоги без учета льгот млн.руб.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1324464967994888"/>
          <c:y val="0.19930312530378144"/>
          <c:w val="0.42776554286901025"/>
          <c:h val="0.70204961358996809"/>
        </c:manualLayout>
      </c:layout>
      <c:doughnutChart>
        <c:varyColors val="1"/>
        <c:ser>
          <c:idx val="0"/>
          <c:order val="0"/>
          <c:val>
            <c:numRef>
              <c:f>КПЭбезЛьгот!#REF!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8C3-4B3D-A2EB-9001FC1DF26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КПЭбезЛьгот!#REF!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77"/>
        <c:holeSize val="75"/>
      </c:doughnutChart>
    </c:plotArea>
    <c:plotVisOnly val="1"/>
    <c:dispBlanksAs val="zero"/>
    <c:showDLblsOverMax val="0"/>
    <c:extLst xmlns:c16r2="http://schemas.microsoft.com/office/drawing/2015/06/chart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Платежи по выплате Кредитов и процентов млн.руб.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Финансы!$B$23</c:f>
              <c:strCache>
                <c:ptCount val="1"/>
                <c:pt idx="0">
                  <c:v>Погашение кредита/займа</c:v>
                </c:pt>
              </c:strCache>
            </c:strRef>
          </c:tx>
          <c:spPr>
            <a:solidFill>
              <a:srgbClr val="1C1C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Финансы!$F$3:$O$3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Финансы!$F$23:$O$23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C-4682-8225-ED05C8926DEC}"/>
            </c:ext>
          </c:extLst>
        </c:ser>
        <c:ser>
          <c:idx val="1"/>
          <c:order val="1"/>
          <c:tx>
            <c:strRef>
              <c:f>Финансы!$B$26</c:f>
              <c:strCache>
                <c:ptCount val="1"/>
                <c:pt idx="0">
                  <c:v>Оплата %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Финансы!$F$3:$O$3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Финансы!$F$26:$O$26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6C-4682-8225-ED05C8926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100"/>
        <c:axId val="570656376"/>
        <c:axId val="570666568"/>
      </c:barChart>
      <c:lineChart>
        <c:grouping val="standard"/>
        <c:varyColors val="0"/>
        <c:ser>
          <c:idx val="2"/>
          <c:order val="2"/>
          <c:tx>
            <c:strRef>
              <c:f>Финансы!$B$24</c:f>
              <c:strCache>
                <c:ptCount val="1"/>
                <c:pt idx="0">
                  <c:v>Сумма кредита/займа на кон. периода</c:v>
                </c:pt>
              </c:strCache>
            </c:strRef>
          </c:tx>
          <c:spPr>
            <a:ln w="28575" cap="rnd">
              <a:solidFill>
                <a:srgbClr val="A3A3A3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8145527127563059E-2"/>
                  <c:y val="-5.0925925925925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6C-4682-8225-ED05C8926DE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Финансы!$F$3:$O$3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Финансы!$F$24:$O$24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156C-4682-8225-ED05C8926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656768"/>
        <c:axId val="570663432"/>
      </c:lineChart>
      <c:catAx>
        <c:axId val="570656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570666568"/>
        <c:crosses val="autoZero"/>
        <c:auto val="1"/>
        <c:lblAlgn val="ctr"/>
        <c:lblOffset val="100"/>
        <c:noMultiLvlLbl val="0"/>
      </c:catAx>
      <c:valAx>
        <c:axId val="57066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570656376"/>
        <c:crosses val="autoZero"/>
        <c:crossBetween val="between"/>
        <c:dispUnits>
          <c:builtInUnit val="thousands"/>
        </c:dispUnits>
      </c:valAx>
      <c:valAx>
        <c:axId val="570663432"/>
        <c:scaling>
          <c:orientation val="minMax"/>
        </c:scaling>
        <c:delete val="0"/>
        <c:axPos val="r"/>
        <c:numFmt formatCode="#\ ##0_ ;[Red]\-#\ 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570656768"/>
        <c:crosses val="max"/>
        <c:crossBetween val="between"/>
        <c:dispUnits>
          <c:builtInUnit val="thousands"/>
        </c:dispUnits>
      </c:valAx>
      <c:catAx>
        <c:axId val="57065676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570663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Бюджет доходов и расходов без льгот млн.руб.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БДРбезЛьгот!$B$5</c:f>
              <c:strCache>
                <c:ptCount val="1"/>
                <c:pt idx="0">
                  <c:v>Выручка</c:v>
                </c:pt>
              </c:strCache>
            </c:strRef>
          </c:tx>
          <c:spPr>
            <a:solidFill>
              <a:schemeClr val="accent3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БДРбезЛьгот!$F$5:$O$5</c:f>
              <c:numCache>
                <c:formatCode>#\ ##0_ ;[Red]\-#\ ##0\ </c:formatCode>
                <c:ptCount val="10"/>
                <c:pt idx="0">
                  <c:v>110000</c:v>
                </c:pt>
                <c:pt idx="1">
                  <c:v>120640</c:v>
                </c:pt>
                <c:pt idx="2">
                  <c:v>131955.20000000001</c:v>
                </c:pt>
                <c:pt idx="3">
                  <c:v>148482.04800000004</c:v>
                </c:pt>
                <c:pt idx="4">
                  <c:v>157930.90560000006</c:v>
                </c:pt>
                <c:pt idx="5">
                  <c:v>164248.14182400005</c:v>
                </c:pt>
                <c:pt idx="6">
                  <c:v>170818.06749696005</c:v>
                </c:pt>
                <c:pt idx="7">
                  <c:v>177650.79019683844</c:v>
                </c:pt>
                <c:pt idx="8">
                  <c:v>184756.82180471197</c:v>
                </c:pt>
                <c:pt idx="9">
                  <c:v>192147.09467690048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50-448E-934A-F01B43497A8E}"/>
            </c:ext>
          </c:extLst>
        </c:ser>
        <c:ser>
          <c:idx val="1"/>
          <c:order val="1"/>
          <c:tx>
            <c:strRef>
              <c:f>БДРбезЛьгот!$B$12</c:f>
              <c:strCache>
                <c:ptCount val="1"/>
                <c:pt idx="0">
                  <c:v>Валовая прибыль</c:v>
                </c:pt>
              </c:strCache>
            </c:strRef>
          </c:tx>
          <c:spPr>
            <a:solidFill>
              <a:schemeClr val="accent3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БДРбезЛьгот!$F$12:$O$12</c:f>
              <c:numCache>
                <c:formatCode>#\ ##0_ ;[Red]\-#\ ##0\ </c:formatCode>
                <c:ptCount val="10"/>
                <c:pt idx="0">
                  <c:v>31260</c:v>
                </c:pt>
                <c:pt idx="1">
                  <c:v>36258.559999999998</c:v>
                </c:pt>
                <c:pt idx="2">
                  <c:v>42681.999360000016</c:v>
                </c:pt>
                <c:pt idx="3">
                  <c:v>50679.205724160041</c:v>
                </c:pt>
                <c:pt idx="4">
                  <c:v>55730.973596712996</c:v>
                </c:pt>
                <c:pt idx="5">
                  <c:v>57448.077846128916</c:v>
                </c:pt>
                <c:pt idx="6">
                  <c:v>59205.186722632119</c:v>
                </c:pt>
                <c:pt idx="7">
                  <c:v>61002.294356904298</c:v>
                </c:pt>
                <c:pt idx="8">
                  <c:v>62839.304705807939</c:v>
                </c:pt>
                <c:pt idx="9">
                  <c:v>64716.022908846877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50-448E-934A-F01B43497A8E}"/>
            </c:ext>
          </c:extLst>
        </c:ser>
        <c:ser>
          <c:idx val="2"/>
          <c:order val="2"/>
          <c:tx>
            <c:strRef>
              <c:f>БДРбезЛьгот!$B$17</c:f>
              <c:strCache>
                <c:ptCount val="1"/>
                <c:pt idx="0">
                  <c:v>Прибыль/убыток от продаж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БДРбезЛьгот!$F$17:$O$17</c:f>
              <c:numCache>
                <c:formatCode>#\ ##0_ ;[Red]\-#\ ##0\ </c:formatCode>
                <c:ptCount val="10"/>
                <c:pt idx="0">
                  <c:v>-3676</c:v>
                </c:pt>
                <c:pt idx="1">
                  <c:v>-464.25600000000122</c:v>
                </c:pt>
                <c:pt idx="2">
                  <c:v>4079.0896640000137</c:v>
                </c:pt>
                <c:pt idx="3">
                  <c:v>10097.972445184045</c:v>
                </c:pt>
                <c:pt idx="4">
                  <c:v>13067.968188514336</c:v>
                </c:pt>
                <c:pt idx="5">
                  <c:v>12594.352146847123</c:v>
                </c:pt>
                <c:pt idx="6">
                  <c:v>12045.996716437592</c:v>
                </c:pt>
                <c:pt idx="7">
                  <c:v>11416.787815899799</c:v>
                </c:pt>
                <c:pt idx="8">
                  <c:v>10700.191828265575</c:v>
                </c:pt>
                <c:pt idx="9">
                  <c:v>9889.2290211108775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50-448E-934A-F01B43497A8E}"/>
            </c:ext>
          </c:extLst>
        </c:ser>
        <c:ser>
          <c:idx val="3"/>
          <c:order val="3"/>
          <c:tx>
            <c:strRef>
              <c:f>БДРбезЛьгот!$B$29</c:f>
              <c:strCache>
                <c:ptCount val="1"/>
                <c:pt idx="0">
                  <c:v>Чистая прибыль/убыток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БДРбезЛьгот!$F$29:$O$29</c:f>
              <c:numCache>
                <c:formatCode>#\ ##0_ ;[Red]\-#\ ##0\ </c:formatCode>
                <c:ptCount val="10"/>
                <c:pt idx="0">
                  <c:v>-6416.3719999999994</c:v>
                </c:pt>
                <c:pt idx="1">
                  <c:v>-3838.768832000002</c:v>
                </c:pt>
                <c:pt idx="2">
                  <c:v>-136.55908659198781</c:v>
                </c:pt>
                <c:pt idx="3">
                  <c:v>4812.2472365588865</c:v>
                </c:pt>
                <c:pt idx="4">
                  <c:v>7161.5166286861695</c:v>
                </c:pt>
                <c:pt idx="5">
                  <c:v>6575.3413182797794</c:v>
                </c:pt>
                <c:pt idx="6">
                  <c:v>5916.8513808261287</c:v>
                </c:pt>
                <c:pt idx="7">
                  <c:v>5180.4176448239687</c:v>
                </c:pt>
                <c:pt idx="8">
                  <c:v>4360.0325230725703</c:v>
                </c:pt>
                <c:pt idx="9">
                  <c:v>3449.2862941086537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D50-448E-934A-F01B43497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7552"/>
        <c:axId val="570658728"/>
      </c:barChart>
      <c:catAx>
        <c:axId val="57065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70658728"/>
        <c:crosses val="autoZero"/>
        <c:auto val="1"/>
        <c:lblAlgn val="ctr"/>
        <c:lblOffset val="100"/>
        <c:noMultiLvlLbl val="0"/>
      </c:catAx>
      <c:valAx>
        <c:axId val="57065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70657552"/>
        <c:crosses val="autoZero"/>
        <c:crossBetween val="between"/>
        <c:dispUnits>
          <c:builtInUnit val="thousands"/>
        </c:dispUnits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$D$7" lockText="1" noThreeD="1"/>
</file>

<file path=xl/ctrlProps/ctrlProp2.xml><?xml version="1.0" encoding="utf-8"?>
<formControlPr xmlns="http://schemas.microsoft.com/office/spreadsheetml/2009/9/main" objectType="CheckBox" checked="Checked" fmlaLink="$D$8" lockText="1" noThreeD="1"/>
</file>

<file path=xl/ctrlProps/ctrlProp3.xml><?xml version="1.0" encoding="utf-8"?>
<formControlPr xmlns="http://schemas.microsoft.com/office/spreadsheetml/2009/9/main" objectType="CheckBox" checked="Checked" fmlaLink="$D$9" lockText="1" noThreeD="1"/>
</file>

<file path=xl/ctrlProps/ctrlProp4.xml><?xml version="1.0" encoding="utf-8"?>
<formControlPr xmlns="http://schemas.microsoft.com/office/spreadsheetml/2009/9/main" objectType="CheckBox" checked="Checked" fmlaLink="$D$10" lockText="1" noThreeD="1"/>
</file>

<file path=xl/ctrlProps/ctrlProp5.xml><?xml version="1.0" encoding="utf-8"?>
<formControlPr xmlns="http://schemas.microsoft.com/office/spreadsheetml/2009/9/main" objectType="CheckBox" checked="Checked" fmlaLink="$D$11" lockText="1" noThreeD="1"/>
</file>

<file path=xl/ctrlProps/ctrlProp6.xml><?xml version="1.0" encoding="utf-8"?>
<formControlPr xmlns="http://schemas.microsoft.com/office/spreadsheetml/2009/9/main" objectType="CheckBox" checked="Checked" fmlaLink="$D$12" lockText="1" noThreeD="1"/>
</file>

<file path=xl/ctrlProps/ctrlProp7.xml><?xml version="1.0" encoding="utf-8"?>
<formControlPr xmlns="http://schemas.microsoft.com/office/spreadsheetml/2009/9/main" objectType="CheckBox" checked="Checked" fmlaLink="$D$13" lockText="1" noThreeD="1"/>
</file>

<file path=xl/ctrlProps/ctrlProp8.xml><?xml version="1.0" encoding="utf-8"?>
<formControlPr xmlns="http://schemas.microsoft.com/office/spreadsheetml/2009/9/main" objectType="CheckBox" checked="Checked" fmlaLink="$D$14" lockText="1" noThreeD="1"/>
</file>

<file path=xl/ctrlProps/ctrlProp9.xml><?xml version="1.0" encoding="utf-8"?>
<formControlPr xmlns="http://schemas.microsoft.com/office/spreadsheetml/2009/9/main" objectType="CheckBox" checked="Checked" fmlaLink="$D$17" lockText="1" noThreeD="1"/>
</file>

<file path=xl/ctrlProps/ctrlProp10.xml><?xml version="1.0" encoding="utf-8"?>
<formControlPr xmlns="http://schemas.microsoft.com/office/spreadsheetml/2009/9/main" objectType="CheckBox" checked="Checked" fmlaLink="$D$18" lockText="1" noThreeD="1"/>
</file>

<file path=xl/ctrlProps/ctrlProp11.xml><?xml version="1.0" encoding="utf-8"?>
<formControlPr xmlns="http://schemas.microsoft.com/office/spreadsheetml/2009/9/main" objectType="CheckBox" checked="Checked" fmlaLink="$D$19" lockText="1" noThreeD="1"/>
</file>

<file path=xl/ctrlProps/ctrlProp12.xml><?xml version="1.0" encoding="utf-8"?>
<formControlPr xmlns="http://schemas.microsoft.com/office/spreadsheetml/2009/9/main" objectType="CheckBox" fmlaLink="R8" lockText="1" noThreeD="1"/>
</file>

<file path=xl/ctrlProps/ctrlProp13.xml><?xml version="1.0" encoding="utf-8"?>
<formControlPr xmlns="http://schemas.microsoft.com/office/spreadsheetml/2009/9/main" objectType="CheckBox" fmlaLink="$R$9" lockText="1" noThreeD="1"/>
</file>

<file path=xl/ctrlProps/ctrlProp14.xml><?xml version="1.0" encoding="utf-8"?>
<formControlPr xmlns="http://schemas.microsoft.com/office/spreadsheetml/2009/9/main" objectType="CheckBox" fmlaLink="$R$10" lockText="1" noThreeD="1"/>
</file>

<file path=xl/ctrlProps/ctrlProp15.xml><?xml version="1.0" encoding="utf-8"?>
<formControlPr xmlns="http://schemas.microsoft.com/office/spreadsheetml/2009/9/main" objectType="CheckBox" fmlaLink="$R$11" lockText="1" noThreeD="1"/>
</file>

<file path=xl/ctrlProps/ctrlProp16.xml><?xml version="1.0" encoding="utf-8"?>
<formControlPr xmlns="http://schemas.microsoft.com/office/spreadsheetml/2009/9/main" objectType="CheckBox" fmlaLink="$R$14" lockText="1" noThreeD="1"/>
</file>

<file path=xl/ctrlProps/ctrlProp17.xml><?xml version="1.0" encoding="utf-8"?>
<formControlPr xmlns="http://schemas.microsoft.com/office/spreadsheetml/2009/9/main" objectType="CheckBox" fmlaLink="$R$18" lockText="1" noThreeD="1"/>
</file>

<file path=xl/ctrlProps/ctrlProp18.xml><?xml version="1.0" encoding="utf-8"?>
<formControlPr xmlns="http://schemas.microsoft.com/office/spreadsheetml/2009/9/main" objectType="CheckBox" fmlaLink="$R$19" lockText="1" noThreeD="1"/>
</file>

<file path=xl/ctrlProps/ctrlProp19.xml><?xml version="1.0" encoding="utf-8"?>
<formControlPr xmlns="http://schemas.microsoft.com/office/spreadsheetml/2009/9/main" objectType="CheckBox" fmlaLink="$R$20" lockText="1" noThreeD="1"/>
</file>

<file path=xl/ctrlProps/ctrlProp20.xml><?xml version="1.0" encoding="utf-8"?>
<formControlPr xmlns="http://schemas.microsoft.com/office/spreadsheetml/2009/9/main" objectType="CheckBox" fmlaLink="$R$21" lockText="1" noThreeD="1"/>
</file>

<file path=xl/ctrlProps/ctrlProp21.xml><?xml version="1.0" encoding="utf-8"?>
<formControlPr xmlns="http://schemas.microsoft.com/office/spreadsheetml/2009/9/main" objectType="CheckBox" fmlaLink="$R$22" lockText="1" noThreeD="1"/>
</file>

<file path=xl/ctrlProps/ctrlProp22.xml><?xml version="1.0" encoding="utf-8"?>
<formControlPr xmlns="http://schemas.microsoft.com/office/spreadsheetml/2009/9/main" objectType="CheckBox" checked="Checked" fmlaLink="$R$25" lockText="1" noThreeD="1"/>
</file>

<file path=xl/ctrlProps/ctrlProp23.xml><?xml version="1.0" encoding="utf-8"?>
<formControlPr xmlns="http://schemas.microsoft.com/office/spreadsheetml/2009/9/main" objectType="CheckBox" fmlaLink="$R$28" lockText="1" noThreeD="1"/>
</file>

<file path=xl/ctrlProps/ctrlProp24.xml><?xml version="1.0" encoding="utf-8"?>
<formControlPr xmlns="http://schemas.microsoft.com/office/spreadsheetml/2009/9/main" objectType="CheckBox" fmlaLink="$R$31" lockText="1" noThreeD="1"/>
</file>

<file path=xl/ctrlProps/ctrlProp25.xml><?xml version="1.0" encoding="utf-8"?>
<formControlPr xmlns="http://schemas.microsoft.com/office/spreadsheetml/2009/9/main" objectType="CheckBox" checked="Checked" fmlaLink="$R$34" lockText="1" noThreeD="1"/>
</file>

<file path=xl/ctrlProps/ctrlProp26.xml><?xml version="1.0" encoding="utf-8"?>
<formControlPr xmlns="http://schemas.microsoft.com/office/spreadsheetml/2009/9/main" objectType="CheckBox" checked="Checked" fmlaLink="$R$40" lockText="1" noThreeD="1"/>
</file>

<file path=xl/ctrlProps/ctrlProp27.xml><?xml version="1.0" encoding="utf-8"?>
<formControlPr xmlns="http://schemas.microsoft.com/office/spreadsheetml/2009/9/main" objectType="CheckBox" checked="Checked" fmlaLink="$R$41" lockText="1" noThreeD="1"/>
</file>

<file path=xl/ctrlProps/ctrlProp28.xml><?xml version="1.0" encoding="utf-8"?>
<formControlPr xmlns="http://schemas.microsoft.com/office/spreadsheetml/2009/9/main" objectType="CheckBox" checked="Checked" fmlaLink="$R$45" lockText="1" noThreeD="1"/>
</file>

<file path=xl/ctrlProps/ctrlProp29.xml><?xml version="1.0" encoding="utf-8"?>
<formControlPr xmlns="http://schemas.microsoft.com/office/spreadsheetml/2009/9/main" objectType="CheckBox" checked="Checked" fmlaLink="$R$46" lockText="1" noThreeD="1"/>
</file>

<file path=xl/ctrlProps/ctrlProp30.xml><?xml version="1.0" encoding="utf-8"?>
<formControlPr xmlns="http://schemas.microsoft.com/office/spreadsheetml/2009/9/main" objectType="CheckBox" checked="Checked" fmlaLink="$R$47" lockText="1" noThreeD="1"/>
</file>

<file path=xl/ctrlProps/ctrlProp31.xml><?xml version="1.0" encoding="utf-8"?>
<formControlPr xmlns="http://schemas.microsoft.com/office/spreadsheetml/2009/9/main" objectType="CheckBox" checked="Checked" fmlaLink="$R$48" lockText="1" noThreeD="1"/>
</file>

<file path=xl/ctrlProps/ctrlProp32.xml><?xml version="1.0" encoding="utf-8"?>
<formControlPr xmlns="http://schemas.microsoft.com/office/spreadsheetml/2009/9/main" objectType="CheckBox" checked="Checked" fmlaLink="$R$49" lockText="1" noThreeD="1"/>
</file>

<file path=xl/ctrlProps/ctrlProp33.xml><?xml version="1.0" encoding="utf-8"?>
<formControlPr xmlns="http://schemas.microsoft.com/office/spreadsheetml/2009/9/main" objectType="CheckBox" checked="Checked" fmlaLink="$R$50" lockText="1" noThreeD="1"/>
</file>

<file path=xl/ctrlProps/ctrlProp34.xml><?xml version="1.0" encoding="utf-8"?>
<formControlPr xmlns="http://schemas.microsoft.com/office/spreadsheetml/2009/9/main" objectType="CheckBox" fmlaLink="$R$53" lockText="1" noThreeD="1"/>
</file>

<file path=xl/ctrlProps/ctrlProp35.xml><?xml version="1.0" encoding="utf-8"?>
<formControlPr xmlns="http://schemas.microsoft.com/office/spreadsheetml/2009/9/main" objectType="CheckBox" fmlaLink="$R$56" lockText="1" noThreeD="1"/>
</file>

<file path=xl/ctrlProps/ctrlProp36.xml><?xml version="1.0" encoding="utf-8"?>
<formControlPr xmlns="http://schemas.microsoft.com/office/spreadsheetml/2009/9/main" objectType="CheckBox" checked="Checked" fmlaLink="$R$59" lockText="1" noThreeD="1"/>
</file>

<file path=xl/ctrlProps/ctrlProp37.xml><?xml version="1.0" encoding="utf-8"?>
<formControlPr xmlns="http://schemas.microsoft.com/office/spreadsheetml/2009/9/main" objectType="CheckBox" fmlaLink="$G$8" lockText="1" noThreeD="1"/>
</file>

<file path=xl/ctrlProps/ctrlProp38.xml><?xml version="1.0" encoding="utf-8"?>
<formControlPr xmlns="http://schemas.microsoft.com/office/spreadsheetml/2009/9/main" objectType="CheckBox" fmlaLink="$G$10" lockText="1" noThreeD="1"/>
</file>

<file path=xl/ctrlProps/ctrlProp39.xml><?xml version="1.0" encoding="utf-8"?>
<formControlPr xmlns="http://schemas.microsoft.com/office/spreadsheetml/2009/9/main" objectType="CheckBox" fmlaLink="$G$6" lockText="1" noThreeD="1"/>
</file>

<file path=xl/ctrlProps/ctrlProp40.xml><?xml version="1.0" encoding="utf-8"?>
<formControlPr xmlns="http://schemas.microsoft.com/office/spreadsheetml/2009/9/main" objectType="CheckBox" fmlaLink="$G$12" lockText="1" noThreeD="1"/>
</file>

<file path=xl/ctrlProps/ctrlProp41.xml><?xml version="1.0" encoding="utf-8"?>
<formControlPr xmlns="http://schemas.microsoft.com/office/spreadsheetml/2009/9/main" objectType="CheckBox" fmlaLink="$G$14" lockText="1" noThreeD="1"/>
</file>

<file path=xl/ctrlProps/ctrlProp42.xml><?xml version="1.0" encoding="utf-8"?>
<formControlPr xmlns="http://schemas.microsoft.com/office/spreadsheetml/2009/9/main" objectType="CheckBox" fmlaLink="$G$16" lockText="1" noThreeD="1"/>
</file>

<file path=xl/ctrlProps/ctrlProp43.xml><?xml version="1.0" encoding="utf-8"?>
<formControlPr xmlns="http://schemas.microsoft.com/office/spreadsheetml/2009/9/main" objectType="CheckBox" fmlaLink="$G$18" lockText="1" noThreeD="1"/>
</file>

<file path=xl/ctrlProps/ctrlProp44.xml><?xml version="1.0" encoding="utf-8"?>
<formControlPr xmlns="http://schemas.microsoft.com/office/spreadsheetml/2009/9/main" objectType="CheckBox" fmlaLink="$G$20" lockText="1" noThreeD="1"/>
</file>

<file path=xl/ctrlProps/ctrlProp45.xml><?xml version="1.0" encoding="utf-8"?>
<formControlPr xmlns="http://schemas.microsoft.com/office/spreadsheetml/2009/9/main" objectType="CheckBox" fmlaLink="$G$22" lockText="1" noThreeD="1"/>
</file>

<file path=xl/ctrlProps/ctrlProp46.xml><?xml version="1.0" encoding="utf-8"?>
<formControlPr xmlns="http://schemas.microsoft.com/office/spreadsheetml/2009/9/main" objectType="CheckBox" fmlaLink="$G$24" lockText="1" noThreeD="1"/>
</file>

<file path=xl/ctrlProps/ctrlProp47.xml><?xml version="1.0" encoding="utf-8"?>
<formControlPr xmlns="http://schemas.microsoft.com/office/spreadsheetml/2009/9/main" objectType="CheckBox" fmlaLink="$G$26" lockText="1" noThreeD="1"/>
</file>

<file path=xl/ctrlProps/ctrlProp48.xml><?xml version="1.0" encoding="utf-8"?>
<formControlPr xmlns="http://schemas.microsoft.com/office/spreadsheetml/2009/9/main" objectType="CheckBox" fmlaLink="$G$28" lockText="1" noThreeD="1"/>
</file>

<file path=xl/ctrlProps/ctrlProp49.xml><?xml version="1.0" encoding="utf-8"?>
<formControlPr xmlns="http://schemas.microsoft.com/office/spreadsheetml/2009/9/main" objectType="CheckBox" fmlaLink="$G$30" lockText="1" noThreeD="1"/>
</file>

<file path=xl/ctrlProps/ctrlProp50.xml><?xml version="1.0" encoding="utf-8"?>
<formControlPr xmlns="http://schemas.microsoft.com/office/spreadsheetml/2009/9/main" objectType="CheckBox" fmlaLink="$G$32" lockText="1" noThreeD="1"/>
</file>

<file path=xl/ctrlProps/ctrlProp51.xml><?xml version="1.0" encoding="utf-8"?>
<formControlPr xmlns="http://schemas.microsoft.com/office/spreadsheetml/2009/9/main" objectType="CheckBox" fmlaLink="$G$34" lockText="1" noThreeD="1"/>
</file>

<file path=xl/ctrlProps/ctrlProp52.xml><?xml version="1.0" encoding="utf-8"?>
<formControlPr xmlns="http://schemas.microsoft.com/office/spreadsheetml/2009/9/main" objectType="CheckBox" fmlaLink="$G$36" lockText="1" noThreeD="1"/>
</file>

<file path=xl/ctrlProps/ctrlProp53.xml><?xml version="1.0" encoding="utf-8"?>
<formControlPr xmlns="http://schemas.microsoft.com/office/spreadsheetml/2009/9/main" objectType="CheckBox" fmlaLink="$G$38" lockText="1" noThreeD="1"/>
</file>

<file path=xl/ctrlProps/ctrlProp54.xml><?xml version="1.0" encoding="utf-8"?>
<formControlPr xmlns="http://schemas.microsoft.com/office/spreadsheetml/2009/9/main" objectType="CheckBox" fmlaLink="$G$40" lockText="1" noThreeD="1"/>
</file>

<file path=xl/ctrlProps/ctrlProp55.xml><?xml version="1.0" encoding="utf-8"?>
<formControlPr xmlns="http://schemas.microsoft.com/office/spreadsheetml/2009/9/main" objectType="CheckBox" fmlaLink="$G$40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$G$40" lockText="1" noThreeD="1"/>
</file>

<file path=xl/ctrlProps/ctrlProp58.xml><?xml version="1.0" encoding="utf-8"?>
<formControlPr xmlns="http://schemas.microsoft.com/office/spreadsheetml/2009/9/main" objectType="CheckBox" fmlaLink="$G$42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1054;&#1075;&#1083;&#1072;&#1074;&#1083;&#1077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4;&#1075;&#1083;&#1072;&#1074;&#1083;&#1077;&#1085;&#1080;&#1077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&#1054;&#1075;&#1083;&#1072;&#1074;&#1083;&#1077;&#1085;&#1080;&#107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2" Type="http://schemas.openxmlformats.org/officeDocument/2006/relationships/chart" Target="../charts/chart7.xml"/><Relationship Id="rId16" Type="http://schemas.openxmlformats.org/officeDocument/2006/relationships/chart" Target="../charts/chart21.xml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hyperlink" Target="#&#1054;&#1075;&#1083;&#1072;&#1074;&#1083;&#1077;&#1085;&#1080;&#1077;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hyperlink" Target="#&#1054;&#1075;&#1083;&#1072;&#1074;&#1083;&#1077;&#1085;&#1080;&#1077;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hyperlink" Target="#&#1054;&#1075;&#1083;&#1072;&#1074;&#1083;&#1077;&#1085;&#1080;&#1077;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hyperlink" Target="#&#1054;&#1075;&#1083;&#1072;&#1074;&#1083;&#1077;&#1085;&#1080;&#1077;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hyperlink" Target="#&#1055;&#1088;&#1086;&#1095;&#1044;&#1086;&#1093;&#1086;&#1076;&#1099;!A1"/><Relationship Id="rId13" Type="http://schemas.openxmlformats.org/officeDocument/2006/relationships/hyperlink" Target="#&#1058;&#1080;&#1090;&#1091;&#1083;!A1"/><Relationship Id="rId18" Type="http://schemas.openxmlformats.org/officeDocument/2006/relationships/hyperlink" Target="#&#1050;&#1055;&#1069;&#1073;&#1077;&#1079;&#1051;&#1100;&#1075;&#1086;&#1090;!A1"/><Relationship Id="rId26" Type="http://schemas.openxmlformats.org/officeDocument/2006/relationships/hyperlink" Target="#&#1050;&#1086;&#1085;&#1090;&#1088;&#1086;&#1083;&#1100;!A1"/><Relationship Id="rId3" Type="http://schemas.openxmlformats.org/officeDocument/2006/relationships/hyperlink" Target="#&#1048;&#1085;&#1074;&#1077;&#1089;&#1090;&#1080;&#1094;&#1080;&#1080;!A1"/><Relationship Id="rId21" Type="http://schemas.openxmlformats.org/officeDocument/2006/relationships/hyperlink" Target="#&#1041;&#1044;&#1044;&#1057;!A1"/><Relationship Id="rId34" Type="http://schemas.openxmlformats.org/officeDocument/2006/relationships/hyperlink" Target="#&#1041;&#1072;&#1083;&#1072;&#1085;&#1089;!A1"/><Relationship Id="rId7" Type="http://schemas.openxmlformats.org/officeDocument/2006/relationships/hyperlink" Target="#&#1040;&#1076;&#1084;&#1056;&#1072;&#1089;&#1093;&#1086;&#1076;&#1099;!A1"/><Relationship Id="rId12" Type="http://schemas.openxmlformats.org/officeDocument/2006/relationships/hyperlink" Target="#&#1053;&#1072;&#1083;&#1048;&#1084;&#1091;&#1097;&#1077;&#1089;&#1090;&#1074;&#1086;!A1"/><Relationship Id="rId17" Type="http://schemas.openxmlformats.org/officeDocument/2006/relationships/hyperlink" Target="#&#1050;&#1055;&#1069;!A1"/><Relationship Id="rId25" Type="http://schemas.openxmlformats.org/officeDocument/2006/relationships/hyperlink" Target="#&#1051;&#1077;&#1075;&#1077;&#1085;&#1076;&#1072;!A1"/><Relationship Id="rId33" Type="http://schemas.openxmlformats.org/officeDocument/2006/relationships/hyperlink" Target="#&#1053;&#1072;&#1083;&#1086;&#1075;&#1057;&#1074;&#1086;&#1076;!A1"/><Relationship Id="rId2" Type="http://schemas.openxmlformats.org/officeDocument/2006/relationships/hyperlink" Target="#&#1048;&#1089;&#1093;&#1086;&#1076;&#1085;&#1099;&#1077;!A1"/><Relationship Id="rId16" Type="http://schemas.openxmlformats.org/officeDocument/2006/relationships/hyperlink" Target="#&#1041;&#1044;&#1044;&#1057;&#1073;&#1077;&#1079;&#1051;&#1100;&#1075;&#1086;&#1090;!A1"/><Relationship Id="rId20" Type="http://schemas.openxmlformats.org/officeDocument/2006/relationships/hyperlink" Target="#&#1057;&#1077;&#1073;&#1077;&#1089;&#1090;&#1086;&#1080;&#1084;&#1086;&#1089;&#1090;&#1100;!A1"/><Relationship Id="rId29" Type="http://schemas.openxmlformats.org/officeDocument/2006/relationships/hyperlink" Target="#&#1063;&#1091;&#1074;&#1089;&#1090;&#1074;&#1080;&#1090;&#1077;&#1083;&#1100;&#1085;&#1086;&#1089;&#1090;&#1100;!A1"/><Relationship Id="rId1" Type="http://schemas.openxmlformats.org/officeDocument/2006/relationships/hyperlink" Target="#&#1052;&#1072;&#1082;&#1088;&#1086;!A1"/><Relationship Id="rId6" Type="http://schemas.openxmlformats.org/officeDocument/2006/relationships/hyperlink" Target="#&#1054;&#1073;&#1097;&#1055;&#1088;&#1056;&#1072;&#1089;&#1093;&#1086;&#1076;&#1099;!A1"/><Relationship Id="rId11" Type="http://schemas.openxmlformats.org/officeDocument/2006/relationships/hyperlink" Target="#&#1053;&#1072;&#1083;&#1055;&#1088;&#1080;&#1073;&#1099;&#1083;&#1100;!A1"/><Relationship Id="rId24" Type="http://schemas.openxmlformats.org/officeDocument/2006/relationships/hyperlink" Target="#&#1041;&#1072;&#1083;&#1072;&#1085;&#1089;&#1073;&#1077;&#1079;&#1051;&#1100;&#1075;&#1086;&#1090;!A1"/><Relationship Id="rId32" Type="http://schemas.openxmlformats.org/officeDocument/2006/relationships/hyperlink" Target="#&#1053;&#1072;&#1083;&#1047;&#1077;&#1084;&#1083;&#1103;!A1"/><Relationship Id="rId37" Type="http://schemas.openxmlformats.org/officeDocument/2006/relationships/hyperlink" Target="#&#1044;&#1072;&#1096;&#1073;&#1086;&#1088;&#1076;_&#1085;&#1072;&#1083;&#1086;&#1075;&#1080;!A1"/><Relationship Id="rId5" Type="http://schemas.openxmlformats.org/officeDocument/2006/relationships/hyperlink" Target="#&#1055;&#1088;&#1086;&#1076;&#1072;&#1078;&#1080;!A1"/><Relationship Id="rId15" Type="http://schemas.openxmlformats.org/officeDocument/2006/relationships/hyperlink" Target="#&#1041;&#1044;&#1056;&#1073;&#1077;&#1079;&#1051;&#1100;&#1075;&#1086;&#1090;!A1"/><Relationship Id="rId23" Type="http://schemas.openxmlformats.org/officeDocument/2006/relationships/hyperlink" Target="#&#1041;&#1044;&#1056;!A1"/><Relationship Id="rId28" Type="http://schemas.openxmlformats.org/officeDocument/2006/relationships/hyperlink" Target="#&#1054;&#1087;&#1080;&#1089;&#1072;&#1085;&#1080;&#1077;!A1"/><Relationship Id="rId36" Type="http://schemas.openxmlformats.org/officeDocument/2006/relationships/hyperlink" Target="#&#1044;&#1072;&#1096;&#1073;&#1086;&#1088;&#1076;_1!A1"/><Relationship Id="rId10" Type="http://schemas.openxmlformats.org/officeDocument/2006/relationships/hyperlink" Target="#&#1053;&#1044;&#1057;!A1"/><Relationship Id="rId19" Type="http://schemas.openxmlformats.org/officeDocument/2006/relationships/hyperlink" Target="#&#1055;&#1077;&#1088;&#1089;&#1086;&#1085;&#1072;&#1083;!A1"/><Relationship Id="rId31" Type="http://schemas.openxmlformats.org/officeDocument/2006/relationships/hyperlink" Target="#&#1048;&#1090;&#1086;&#1075;&#1058;&#1072;&#1073;&#1083;&#1080;&#1094;&#1099;!A1"/><Relationship Id="rId4" Type="http://schemas.openxmlformats.org/officeDocument/2006/relationships/hyperlink" Target="#&#1060;&#1080;&#1085;&#1072;&#1085;&#1089;&#1099;!A1"/><Relationship Id="rId9" Type="http://schemas.openxmlformats.org/officeDocument/2006/relationships/hyperlink" Target="#&#1055;&#1088;&#1086;&#1095;&#1056;&#1072;&#1089;&#1093;&#1086;&#1076;&#1099;!A1"/><Relationship Id="rId14" Type="http://schemas.openxmlformats.org/officeDocument/2006/relationships/hyperlink" Target="#&#1054;&#1075;&#1083;&#1072;&#1074;&#1083;&#1077;&#1085;&#1080;&#1077;!A1"/><Relationship Id="rId22" Type="http://schemas.openxmlformats.org/officeDocument/2006/relationships/hyperlink" Target="#&#1050;&#1055;&#1069;&#1076;&#1080;&#1072;&#1075;&#1088;&#1073;&#1077;&#1079;&#1051;&#1100;&#1075;&#1086;&#1090;!A1"/><Relationship Id="rId27" Type="http://schemas.openxmlformats.org/officeDocument/2006/relationships/hyperlink" Target="#&#1058;&#1088;&#1077;&#1073;&#1086;&#1074;&#1072;&#1085;&#1080;&#1103;!A1"/><Relationship Id="rId30" Type="http://schemas.openxmlformats.org/officeDocument/2006/relationships/hyperlink" Target="#WACC!A1"/><Relationship Id="rId35" Type="http://schemas.openxmlformats.org/officeDocument/2006/relationships/hyperlink" Target="#&#1043;&#1088;&#1072;&#1092;&#1080;&#1082;&#1080;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hyperlink" Target="#&#1057;&#1090;&#1088;&#1091;&#1082;&#1090;&#1091;&#1088;&#1072;!A1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502920</xdr:colOff>
      <xdr:row>0</xdr:row>
      <xdr:rowOff>53340</xdr:rowOff>
    </xdr:from>
    <xdr:to>
      <xdr:col>3</xdr:col>
      <xdr:colOff>1440510</xdr:colOff>
      <xdr:row>2</xdr:row>
      <xdr:rowOff>0</xdr:rowOff>
    </xdr:to>
    <xdr:sp macro="" textlink="">
      <xdr:nvSpPr>
        <xdr:cNvPr id="5" name="Прямоугольник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9894570" y="53340"/>
          <a:ext cx="937590" cy="365760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 editAs="oneCell">
    <xdr:from>
      <xdr:col>0</xdr:col>
      <xdr:colOff>0</xdr:colOff>
      <xdr:row>0</xdr:row>
      <xdr:rowOff>2196</xdr:rowOff>
    </xdr:from>
    <xdr:to>
      <xdr:col>1</xdr:col>
      <xdr:colOff>262890</xdr:colOff>
      <xdr:row>1</xdr:row>
      <xdr:rowOff>200025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6"/>
          <a:ext cx="853440" cy="388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502920</xdr:colOff>
      <xdr:row>0</xdr:row>
      <xdr:rowOff>53340</xdr:rowOff>
    </xdr:from>
    <xdr:to>
      <xdr:col>3</xdr:col>
      <xdr:colOff>1440510</xdr:colOff>
      <xdr:row>2</xdr:row>
      <xdr:rowOff>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8542020" y="53340"/>
          <a:ext cx="937590" cy="327660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 editAs="oneCell">
    <xdr:from>
      <xdr:col>0</xdr:col>
      <xdr:colOff>60960</xdr:colOff>
      <xdr:row>0</xdr:row>
      <xdr:rowOff>2196</xdr:rowOff>
    </xdr:from>
    <xdr:to>
      <xdr:col>1</xdr:col>
      <xdr:colOff>323850</xdr:colOff>
      <xdr:row>2</xdr:row>
      <xdr:rowOff>31750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2196"/>
          <a:ext cx="855557" cy="4105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6</xdr:row>
          <xdr:rowOff>200025</xdr:rowOff>
        </xdr:from>
        <xdr:to>
          <xdr:col>2</xdr:col>
          <xdr:colOff>1162050</xdr:colOff>
          <xdr:row>6</xdr:row>
          <xdr:rowOff>457200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7</xdr:row>
          <xdr:rowOff>57150</xdr:rowOff>
        </xdr:from>
        <xdr:to>
          <xdr:col>2</xdr:col>
          <xdr:colOff>1162050</xdr:colOff>
          <xdr:row>7</xdr:row>
          <xdr:rowOff>361950</xdr:rowOff>
        </xdr:to>
        <xdr:sp macro="" textlink="">
          <xdr:nvSpPr>
            <xdr:cNvPr id="50178" name="Check Box 2" hidden="1">
              <a:extLst>
                <a:ext uri="{63B3BB69-23CF-44E3-9099-C40C66FF867C}">
                  <a14:compatExt spid="_x0000_s50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8</xdr:row>
          <xdr:rowOff>219075</xdr:rowOff>
        </xdr:from>
        <xdr:to>
          <xdr:col>2</xdr:col>
          <xdr:colOff>1162050</xdr:colOff>
          <xdr:row>8</xdr:row>
          <xdr:rowOff>514350</xdr:rowOff>
        </xdr:to>
        <xdr:sp macro="" textlink="">
          <xdr:nvSpPr>
            <xdr:cNvPr id="50179" name="Check Box 3" hidden="1">
              <a:extLst>
                <a:ext uri="{63B3BB69-23CF-44E3-9099-C40C66FF867C}">
                  <a14:compatExt spid="_x0000_s50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9</xdr:row>
          <xdr:rowOff>133350</xdr:rowOff>
        </xdr:from>
        <xdr:to>
          <xdr:col>2</xdr:col>
          <xdr:colOff>1152525</xdr:colOff>
          <xdr:row>9</xdr:row>
          <xdr:rowOff>314325</xdr:rowOff>
        </xdr:to>
        <xdr:sp macro="" textlink="">
          <xdr:nvSpPr>
            <xdr:cNvPr id="50180" name="Check Box 4" hidden="1">
              <a:extLst>
                <a:ext uri="{63B3BB69-23CF-44E3-9099-C40C66FF867C}">
                  <a14:compatExt spid="_x0000_s50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10</xdr:row>
          <xdr:rowOff>314325</xdr:rowOff>
        </xdr:from>
        <xdr:to>
          <xdr:col>2</xdr:col>
          <xdr:colOff>1162050</xdr:colOff>
          <xdr:row>10</xdr:row>
          <xdr:rowOff>514350</xdr:rowOff>
        </xdr:to>
        <xdr:sp macro="" textlink="">
          <xdr:nvSpPr>
            <xdr:cNvPr id="50181" name="Check Box 5" hidden="1">
              <a:extLst>
                <a:ext uri="{63B3BB69-23CF-44E3-9099-C40C66FF867C}">
                  <a14:compatExt spid="_x0000_s50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11</xdr:row>
          <xdr:rowOff>238125</xdr:rowOff>
        </xdr:from>
        <xdr:to>
          <xdr:col>2</xdr:col>
          <xdr:colOff>1162050</xdr:colOff>
          <xdr:row>11</xdr:row>
          <xdr:rowOff>514350</xdr:rowOff>
        </xdr:to>
        <xdr:sp macro="" textlink="">
          <xdr:nvSpPr>
            <xdr:cNvPr id="50182" name="Check Box 6" hidden="1">
              <a:extLst>
                <a:ext uri="{63B3BB69-23CF-44E3-9099-C40C66FF867C}">
                  <a14:compatExt spid="_x0000_s50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962025</xdr:colOff>
          <xdr:row>12</xdr:row>
          <xdr:rowOff>228600</xdr:rowOff>
        </xdr:from>
        <xdr:to>
          <xdr:col>2</xdr:col>
          <xdr:colOff>1143000</xdr:colOff>
          <xdr:row>12</xdr:row>
          <xdr:rowOff>447675</xdr:rowOff>
        </xdr:to>
        <xdr:sp macro="" textlink="">
          <xdr:nvSpPr>
            <xdr:cNvPr id="50183" name="Check Box 7" hidden="1">
              <a:extLst>
                <a:ext uri="{63B3BB69-23CF-44E3-9099-C40C66FF867C}">
                  <a14:compatExt spid="_x0000_s50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13</xdr:row>
          <xdr:rowOff>400050</xdr:rowOff>
        </xdr:from>
        <xdr:to>
          <xdr:col>2</xdr:col>
          <xdr:colOff>1181100</xdr:colOff>
          <xdr:row>13</xdr:row>
          <xdr:rowOff>590550</xdr:rowOff>
        </xdr:to>
        <xdr:sp macro="" textlink="">
          <xdr:nvSpPr>
            <xdr:cNvPr id="50184" name="Check Box 8" hidden="1">
              <a:extLst>
                <a:ext uri="{63B3BB69-23CF-44E3-9099-C40C66FF867C}">
                  <a14:compatExt spid="_x0000_s50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16</xdr:row>
          <xdr:rowOff>57150</xdr:rowOff>
        </xdr:from>
        <xdr:to>
          <xdr:col>2</xdr:col>
          <xdr:colOff>1162050</xdr:colOff>
          <xdr:row>16</xdr:row>
          <xdr:rowOff>352425</xdr:rowOff>
        </xdr:to>
        <xdr:sp macro="" textlink="">
          <xdr:nvSpPr>
            <xdr:cNvPr id="50185" name="Check Box 9" hidden="1">
              <a:extLst>
                <a:ext uri="{63B3BB69-23CF-44E3-9099-C40C66FF867C}">
                  <a14:compatExt spid="_x0000_s50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17</xdr:row>
          <xdr:rowOff>57150</xdr:rowOff>
        </xdr:from>
        <xdr:to>
          <xdr:col>2</xdr:col>
          <xdr:colOff>1162050</xdr:colOff>
          <xdr:row>17</xdr:row>
          <xdr:rowOff>352425</xdr:rowOff>
        </xdr:to>
        <xdr:sp macro="" textlink="">
          <xdr:nvSpPr>
            <xdr:cNvPr id="50186" name="Check Box 10" hidden="1">
              <a:extLst>
                <a:ext uri="{63B3BB69-23CF-44E3-9099-C40C66FF867C}">
                  <a14:compatExt spid="_x0000_s50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18</xdr:row>
          <xdr:rowOff>57150</xdr:rowOff>
        </xdr:from>
        <xdr:to>
          <xdr:col>2</xdr:col>
          <xdr:colOff>1162050</xdr:colOff>
          <xdr:row>18</xdr:row>
          <xdr:rowOff>352425</xdr:rowOff>
        </xdr:to>
        <xdr:sp macro="" textlink="">
          <xdr:nvSpPr>
            <xdr:cNvPr id="50187" name="Check Box 11" hidden="1">
              <a:extLst>
                <a:ext uri="{63B3BB69-23CF-44E3-9099-C40C66FF867C}">
                  <a14:compatExt spid="_x0000_s50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250136</xdr:colOff>
      <xdr:row>0</xdr:row>
      <xdr:rowOff>37272</xdr:rowOff>
    </xdr:from>
    <xdr:to>
      <xdr:col>6</xdr:col>
      <xdr:colOff>569180</xdr:colOff>
      <xdr:row>0</xdr:row>
      <xdr:rowOff>311260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4864046" y="37272"/>
          <a:ext cx="959124" cy="27398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91440</xdr:rowOff>
    </xdr:from>
    <xdr:to>
      <xdr:col>3</xdr:col>
      <xdr:colOff>198782</xdr:colOff>
      <xdr:row>0</xdr:row>
      <xdr:rowOff>281940</xdr:rowOff>
    </xdr:to>
    <xdr:sp macro="" textlink="">
      <xdr:nvSpPr>
        <xdr:cNvPr id="3" name="Прямоугольни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280160" y="91440"/>
          <a:ext cx="838862" cy="91440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503582</xdr:colOff>
      <xdr:row>0</xdr:row>
      <xdr:rowOff>16564</xdr:rowOff>
    </xdr:from>
    <xdr:to>
      <xdr:col>7</xdr:col>
      <xdr:colOff>162337</xdr:colOff>
      <xdr:row>0</xdr:row>
      <xdr:rowOff>231912</xdr:rowOff>
    </xdr:to>
    <xdr:sp macro="" textlink="">
      <xdr:nvSpPr>
        <xdr:cNvPr id="3" name="Прямоугольни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>
          <a:off x="3988904" y="16564"/>
          <a:ext cx="937590" cy="21534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349197</xdr:colOff>
      <xdr:row>0</xdr:row>
      <xdr:rowOff>18223</xdr:rowOff>
    </xdr:from>
    <xdr:to>
      <xdr:col>13</xdr:col>
      <xdr:colOff>15240</xdr:colOff>
      <xdr:row>0</xdr:row>
      <xdr:rowOff>297181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8788347" y="18223"/>
          <a:ext cx="946203" cy="27895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>
    <xdr:from>
      <xdr:col>4</xdr:col>
      <xdr:colOff>112394</xdr:colOff>
      <xdr:row>8</xdr:row>
      <xdr:rowOff>80010</xdr:rowOff>
    </xdr:from>
    <xdr:to>
      <xdr:col>14</xdr:col>
      <xdr:colOff>552450</xdr:colOff>
      <xdr:row>24</xdr:row>
      <xdr:rowOff>99060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64770</xdr:colOff>
      <xdr:row>0</xdr:row>
      <xdr:rowOff>19050</xdr:rowOff>
    </xdr:from>
    <xdr:to>
      <xdr:col>10</xdr:col>
      <xdr:colOff>389943</xdr:colOff>
      <xdr:row>0</xdr:row>
      <xdr:rowOff>336108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7646670" y="19050"/>
          <a:ext cx="946203" cy="31705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3859754</xdr:colOff>
      <xdr:row>0</xdr:row>
      <xdr:rowOff>74855</xdr:rowOff>
    </xdr:from>
    <xdr:to>
      <xdr:col>2</xdr:col>
      <xdr:colOff>4808279</xdr:colOff>
      <xdr:row>1</xdr:row>
      <xdr:rowOff>110802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/>
      </xdr:nvSpPr>
      <xdr:spPr>
        <a:xfrm>
          <a:off x="6507704" y="74855"/>
          <a:ext cx="948525" cy="268357"/>
        </a:xfrm>
        <a:prstGeom prst="rect">
          <a:avLst/>
        </a:prstGeom>
        <a:solidFill>
          <a:srgbClr val="A3A3A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>
    <xdr:from>
      <xdr:col>0</xdr:col>
      <xdr:colOff>331021</xdr:colOff>
      <xdr:row>4</xdr:row>
      <xdr:rowOff>35859</xdr:rowOff>
    </xdr:from>
    <xdr:to>
      <xdr:col>2</xdr:col>
      <xdr:colOff>4250390</xdr:colOff>
      <xdr:row>22</xdr:row>
      <xdr:rowOff>15913</xdr:rowOff>
    </xdr:to>
    <xdr:graphicFrame macro="">
      <xdr:nvGraphicFramePr>
        <xdr:cNvPr id="10" name="Диаграмма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4621306</xdr:colOff>
      <xdr:row>4</xdr:row>
      <xdr:rowOff>36529</xdr:rowOff>
    </xdr:from>
    <xdr:to>
      <xdr:col>4</xdr:col>
      <xdr:colOff>386155</xdr:colOff>
      <xdr:row>22</xdr:row>
      <xdr:rowOff>35858</xdr:rowOff>
    </xdr:to>
    <xdr:graphicFrame macro="">
      <xdr:nvGraphicFramePr>
        <xdr:cNvPr id="11" name="Диаграмма 10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4621754</xdr:colOff>
      <xdr:row>22</xdr:row>
      <xdr:rowOff>165847</xdr:rowOff>
    </xdr:from>
    <xdr:to>
      <xdr:col>4</xdr:col>
      <xdr:colOff>439943</xdr:colOff>
      <xdr:row>40</xdr:row>
      <xdr:rowOff>107576</xdr:rowOff>
    </xdr:to>
    <xdr:graphicFrame macro="">
      <xdr:nvGraphicFramePr>
        <xdr:cNvPr id="12" name="Диаграмма 11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339986</xdr:colOff>
      <xdr:row>22</xdr:row>
      <xdr:rowOff>151952</xdr:rowOff>
    </xdr:from>
    <xdr:to>
      <xdr:col>2</xdr:col>
      <xdr:colOff>4240305</xdr:colOff>
      <xdr:row>40</xdr:row>
      <xdr:rowOff>107577</xdr:rowOff>
    </xdr:to>
    <xdr:graphicFrame macro="">
      <xdr:nvGraphicFramePr>
        <xdr:cNvPr id="13" name="Диаграмма 12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340659</xdr:colOff>
      <xdr:row>41</xdr:row>
      <xdr:rowOff>22412</xdr:rowOff>
    </xdr:from>
    <xdr:to>
      <xdr:col>2</xdr:col>
      <xdr:colOff>4267200</xdr:colOff>
      <xdr:row>58</xdr:row>
      <xdr:rowOff>147918</xdr:rowOff>
    </xdr:to>
    <xdr:graphicFrame macro="">
      <xdr:nvGraphicFramePr>
        <xdr:cNvPr id="14" name="Диаграмма 13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4810013</xdr:colOff>
      <xdr:row>0</xdr:row>
      <xdr:rowOff>56925</xdr:rowOff>
    </xdr:from>
    <xdr:to>
      <xdr:col>2</xdr:col>
      <xdr:colOff>5758538</xdr:colOff>
      <xdr:row>1</xdr:row>
      <xdr:rowOff>92872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>
        <a:xfrm>
          <a:off x="7459084" y="56925"/>
          <a:ext cx="948525" cy="255582"/>
        </a:xfrm>
        <a:prstGeom prst="rect">
          <a:avLst/>
        </a:prstGeom>
        <a:solidFill>
          <a:srgbClr val="A3A3A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>
    <xdr:from>
      <xdr:col>0</xdr:col>
      <xdr:colOff>40342</xdr:colOff>
      <xdr:row>5</xdr:row>
      <xdr:rowOff>106009</xdr:rowOff>
    </xdr:from>
    <xdr:to>
      <xdr:col>2</xdr:col>
      <xdr:colOff>2236695</xdr:colOff>
      <xdr:row>21</xdr:row>
      <xdr:rowOff>103096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2281517</xdr:colOff>
      <xdr:row>5</xdr:row>
      <xdr:rowOff>107576</xdr:rowOff>
    </xdr:from>
    <xdr:to>
      <xdr:col>2</xdr:col>
      <xdr:colOff>7135906</xdr:colOff>
      <xdr:row>21</xdr:row>
      <xdr:rowOff>115117</xdr:rowOff>
    </xdr:to>
    <xdr:graphicFrame macro="">
      <xdr:nvGraphicFramePr>
        <xdr:cNvPr id="9" name="Диаграмма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7238050</xdr:colOff>
      <xdr:row>5</xdr:row>
      <xdr:rowOff>131109</xdr:rowOff>
    </xdr:from>
    <xdr:to>
      <xdr:col>4</xdr:col>
      <xdr:colOff>1313329</xdr:colOff>
      <xdr:row>21</xdr:row>
      <xdr:rowOff>93350</xdr:rowOff>
    </xdr:to>
    <xdr:graphicFrame macro="">
      <xdr:nvGraphicFramePr>
        <xdr:cNvPr id="10" name="Диаграмма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358586</xdr:colOff>
      <xdr:row>24</xdr:row>
      <xdr:rowOff>129989</xdr:rowOff>
    </xdr:from>
    <xdr:to>
      <xdr:col>2</xdr:col>
      <xdr:colOff>7463116</xdr:colOff>
      <xdr:row>41</xdr:row>
      <xdr:rowOff>25629</xdr:rowOff>
    </xdr:to>
    <xdr:graphicFrame macro="">
      <xdr:nvGraphicFramePr>
        <xdr:cNvPr id="11" name="Диаграмма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345142</xdr:colOff>
      <xdr:row>43</xdr:row>
      <xdr:rowOff>134469</xdr:rowOff>
    </xdr:from>
    <xdr:to>
      <xdr:col>2</xdr:col>
      <xdr:colOff>4302611</xdr:colOff>
      <xdr:row>60</xdr:row>
      <xdr:rowOff>22410</xdr:rowOff>
    </xdr:to>
    <xdr:graphicFrame macro="">
      <xdr:nvGraphicFramePr>
        <xdr:cNvPr id="12" name="Диаграмма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4535803</xdr:colOff>
      <xdr:row>43</xdr:row>
      <xdr:rowOff>136263</xdr:rowOff>
    </xdr:from>
    <xdr:to>
      <xdr:col>4</xdr:col>
      <xdr:colOff>367327</xdr:colOff>
      <xdr:row>60</xdr:row>
      <xdr:rowOff>40341</xdr:rowOff>
    </xdr:to>
    <xdr:graphicFrame macro="">
      <xdr:nvGraphicFramePr>
        <xdr:cNvPr id="13" name="Диаграмма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277905</xdr:colOff>
      <xdr:row>63</xdr:row>
      <xdr:rowOff>125506</xdr:rowOff>
    </xdr:from>
    <xdr:to>
      <xdr:col>2</xdr:col>
      <xdr:colOff>7400363</xdr:colOff>
      <xdr:row>80</xdr:row>
      <xdr:rowOff>13447</xdr:rowOff>
    </xdr:to>
    <xdr:graphicFrame macro="">
      <xdr:nvGraphicFramePr>
        <xdr:cNvPr id="14" name="Диаграмма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277905</xdr:colOff>
      <xdr:row>82</xdr:row>
      <xdr:rowOff>165848</xdr:rowOff>
    </xdr:from>
    <xdr:to>
      <xdr:col>2</xdr:col>
      <xdr:colOff>7351058</xdr:colOff>
      <xdr:row>99</xdr:row>
      <xdr:rowOff>44823</xdr:rowOff>
    </xdr:to>
    <xdr:graphicFrame macro="">
      <xdr:nvGraphicFramePr>
        <xdr:cNvPr id="15" name="Диаграмма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4600694</xdr:colOff>
      <xdr:row>103</xdr:row>
      <xdr:rowOff>161366</xdr:rowOff>
    </xdr:from>
    <xdr:to>
      <xdr:col>2</xdr:col>
      <xdr:colOff>8771964</xdr:colOff>
      <xdr:row>120</xdr:row>
      <xdr:rowOff>49306</xdr:rowOff>
    </xdr:to>
    <xdr:graphicFrame macro="">
      <xdr:nvGraphicFramePr>
        <xdr:cNvPr id="18" name="Диаграмма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268941</xdr:colOff>
      <xdr:row>103</xdr:row>
      <xdr:rowOff>121024</xdr:rowOff>
    </xdr:from>
    <xdr:to>
      <xdr:col>2</xdr:col>
      <xdr:colOff>4215211</xdr:colOff>
      <xdr:row>120</xdr:row>
      <xdr:rowOff>40340</xdr:rowOff>
    </xdr:to>
    <xdr:graphicFrame macro="">
      <xdr:nvGraphicFramePr>
        <xdr:cNvPr id="19" name="Диаграмма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4580964</xdr:colOff>
      <xdr:row>124</xdr:row>
      <xdr:rowOff>4482</xdr:rowOff>
    </xdr:from>
    <xdr:to>
      <xdr:col>2</xdr:col>
      <xdr:colOff>8803341</xdr:colOff>
      <xdr:row>140</xdr:row>
      <xdr:rowOff>134470</xdr:rowOff>
    </xdr:to>
    <xdr:graphicFrame macro="">
      <xdr:nvGraphicFramePr>
        <xdr:cNvPr id="20" name="Диаграмма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266252</xdr:colOff>
      <xdr:row>123</xdr:row>
      <xdr:rowOff>182432</xdr:rowOff>
    </xdr:from>
    <xdr:to>
      <xdr:col>2</xdr:col>
      <xdr:colOff>4204446</xdr:colOff>
      <xdr:row>140</xdr:row>
      <xdr:rowOff>112058</xdr:rowOff>
    </xdr:to>
    <xdr:graphicFrame macro="">
      <xdr:nvGraphicFramePr>
        <xdr:cNvPr id="21" name="Диаграмма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266022</xdr:colOff>
      <xdr:row>143</xdr:row>
      <xdr:rowOff>169654</xdr:rowOff>
    </xdr:from>
    <xdr:to>
      <xdr:col>2</xdr:col>
      <xdr:colOff>4182035</xdr:colOff>
      <xdr:row>160</xdr:row>
      <xdr:rowOff>80681</xdr:rowOff>
    </xdr:to>
    <xdr:graphicFrame macro="">
      <xdr:nvGraphicFramePr>
        <xdr:cNvPr id="23" name="Диаграмма 22">
          <a:extLst>
            <a:ext uri="{FF2B5EF4-FFF2-40B4-BE49-F238E27FC236}">
              <a16:creationId xmlns="" xmlns:a16="http://schemas.microsoft.com/office/drawing/2014/main" id="{00000000-0008-0000-09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4616823</xdr:colOff>
      <xdr:row>144</xdr:row>
      <xdr:rowOff>6946</xdr:rowOff>
    </xdr:from>
    <xdr:to>
      <xdr:col>2</xdr:col>
      <xdr:colOff>8839199</xdr:colOff>
      <xdr:row>160</xdr:row>
      <xdr:rowOff>116542</xdr:rowOff>
    </xdr:to>
    <xdr:graphicFrame macro="">
      <xdr:nvGraphicFramePr>
        <xdr:cNvPr id="24" name="Диаграмма 23">
          <a:extLst>
            <a:ext uri="{FF2B5EF4-FFF2-40B4-BE49-F238E27FC236}">
              <a16:creationId xmlns="" xmlns:a16="http://schemas.microsoft.com/office/drawing/2014/main" id="{00000000-0008-0000-09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282389</xdr:colOff>
      <xdr:row>163</xdr:row>
      <xdr:rowOff>125506</xdr:rowOff>
    </xdr:from>
    <xdr:to>
      <xdr:col>2</xdr:col>
      <xdr:colOff>8839200</xdr:colOff>
      <xdr:row>182</xdr:row>
      <xdr:rowOff>97043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0.40101</cdr:x>
      <cdr:y>0.47242</cdr:y>
    </cdr:from>
    <cdr:to>
      <cdr:x>0.53814</cdr:x>
      <cdr:y>0.56551</cdr:y>
    </cdr:to>
    <cdr:sp macro="" textlink="Выручка!$D$52">
      <cdr:nvSpPr>
        <cdr:cNvPr id="2" name="Прямоугольник 1">
          <a:extLst xmlns:a="http://schemas.openxmlformats.org/drawingml/2006/main">
            <a:ext uri="{FF2B5EF4-FFF2-40B4-BE49-F238E27FC236}">
              <a16:creationId xmlns="" xmlns:a16="http://schemas.microsoft.com/office/drawing/2014/main" id="{D5CD58A2-8A69-1132-BBA7-BB9BCDD866C2}"/>
            </a:ext>
          </a:extLst>
        </cdr:cNvPr>
        <cdr:cNvSpPr/>
      </cdr:nvSpPr>
      <cdr:spPr>
        <a:xfrm xmlns:a="http://schemas.openxmlformats.org/drawingml/2006/main">
          <a:off x="1672718" y="1422985"/>
          <a:ext cx="572007" cy="2804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7A0AE41-3C2C-4812-9FF1-B59367CE621A}" type="TxLink">
            <a:rPr lang="en-US" sz="1100" b="1" i="0" u="none" strike="noStrike">
              <a:solidFill>
                <a:sysClr val="windowText" lastClr="000000"/>
              </a:solidFill>
              <a:latin typeface="Calibri"/>
              <a:ea typeface="Calibri"/>
              <a:cs typeface="Calibri"/>
            </a:rPr>
            <a:pPr/>
            <a:t>1 559 </a:t>
          </a:fld>
          <a:endParaRPr lang="ru-RU">
            <a:solidFill>
              <a:sysClr val="windowText" lastClr="000000"/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0.45119</cdr:x>
      <cdr:y>0.49431</cdr:y>
    </cdr:from>
    <cdr:to>
      <cdr:x>0.58108</cdr:x>
      <cdr:y>0.59465</cdr:y>
    </cdr:to>
    <cdr:sp macro="" textlink="Ресурсы!$D$50">
      <cdr:nvSpPr>
        <cdr:cNvPr id="2" name="Прямоугольник 1">
          <a:extLst xmlns:a="http://schemas.openxmlformats.org/drawingml/2006/main">
            <a:ext uri="{FF2B5EF4-FFF2-40B4-BE49-F238E27FC236}">
              <a16:creationId xmlns="" xmlns:a16="http://schemas.microsoft.com/office/drawing/2014/main" id="{B718F1B8-1317-1A05-FEEA-B32747039B63}"/>
            </a:ext>
          </a:extLst>
        </cdr:cNvPr>
        <cdr:cNvSpPr/>
      </cdr:nvSpPr>
      <cdr:spPr>
        <a:xfrm xmlns:a="http://schemas.openxmlformats.org/drawingml/2006/main">
          <a:off x="1908113" y="1407789"/>
          <a:ext cx="549331" cy="28575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0D4DE2B7-09C2-4CB0-B5C0-767B0F16EE74}" type="TxLink">
            <a:rPr lang="en-US" sz="1100" b="1" i="0" u="none" strike="noStrike">
              <a:solidFill>
                <a:sysClr val="windowText" lastClr="000000"/>
              </a:solidFill>
              <a:latin typeface="Calibri"/>
              <a:ea typeface="Calibri"/>
              <a:cs typeface="Calibri"/>
            </a:rPr>
            <a:pPr/>
            <a:t>0,0 </a:t>
          </a:fld>
          <a:endParaRPr lang="ru-RU">
            <a:solidFill>
              <a:sysClr val="windowText" lastClr="000000"/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0.43533</cdr:x>
      <cdr:y>0.51396</cdr:y>
    </cdr:from>
    <cdr:to>
      <cdr:x>0.59017</cdr:x>
      <cdr:y>0.62884</cdr:y>
    </cdr:to>
    <cdr:sp macro="" textlink="Персонал!$D$29">
      <cdr:nvSpPr>
        <cdr:cNvPr id="2" name="Прямоугольник 1">
          <a:extLst xmlns:a="http://schemas.openxmlformats.org/drawingml/2006/main">
            <a:ext uri="{FF2B5EF4-FFF2-40B4-BE49-F238E27FC236}">
              <a16:creationId xmlns="" xmlns:a16="http://schemas.microsoft.com/office/drawing/2014/main" id="{C46D6E9C-8835-B543-D966-89DEB4A20947}"/>
            </a:ext>
          </a:extLst>
        </cdr:cNvPr>
        <cdr:cNvSpPr/>
      </cdr:nvSpPr>
      <cdr:spPr>
        <a:xfrm xmlns:a="http://schemas.openxmlformats.org/drawingml/2006/main">
          <a:off x="1799590" y="1414780"/>
          <a:ext cx="640080" cy="31623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4682537-9DD8-4AFD-BB96-AD3ACC52F8D5}" type="TxLink"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/>
            <a:t>647 773 </a:t>
          </a:fld>
          <a:endParaRPr lang="ru-RU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150081</xdr:colOff>
      <xdr:row>0</xdr:row>
      <xdr:rowOff>82992</xdr:rowOff>
    </xdr:from>
    <xdr:to>
      <xdr:col>14</xdr:col>
      <xdr:colOff>443450</xdr:colOff>
      <xdr:row>0</xdr:row>
      <xdr:rowOff>298340</xdr:rowOff>
    </xdr:to>
    <xdr:sp macro="" textlink="">
      <xdr:nvSpPr>
        <xdr:cNvPr id="5" name="Прямоугольник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10175351" y="82992"/>
          <a:ext cx="932786" cy="21534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312750</xdr:colOff>
      <xdr:row>0</xdr:row>
      <xdr:rowOff>73715</xdr:rowOff>
    </xdr:from>
    <xdr:to>
      <xdr:col>14</xdr:col>
      <xdr:colOff>621195</xdr:colOff>
      <xdr:row>0</xdr:row>
      <xdr:rowOff>296352</xdr:rowOff>
    </xdr:to>
    <xdr:sp macro="" textlink="">
      <xdr:nvSpPr>
        <xdr:cNvPr id="3" name="Прямоугольни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/>
      </xdr:nvSpPr>
      <xdr:spPr>
        <a:xfrm>
          <a:off x="11243640" y="73715"/>
          <a:ext cx="1032345" cy="222637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357809</xdr:colOff>
      <xdr:row>0</xdr:row>
      <xdr:rowOff>43069</xdr:rowOff>
    </xdr:from>
    <xdr:to>
      <xdr:col>14</xdr:col>
      <xdr:colOff>589722</xdr:colOff>
      <xdr:row>0</xdr:row>
      <xdr:rowOff>301487</xdr:rowOff>
    </xdr:to>
    <xdr:sp macro="" textlink="">
      <xdr:nvSpPr>
        <xdr:cNvPr id="3" name="Прямоугольни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/>
      </xdr:nvSpPr>
      <xdr:spPr>
        <a:xfrm>
          <a:off x="9485244" y="43069"/>
          <a:ext cx="871330" cy="25841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516836</xdr:colOff>
      <xdr:row>0</xdr:row>
      <xdr:rowOff>56322</xdr:rowOff>
    </xdr:from>
    <xdr:to>
      <xdr:col>3</xdr:col>
      <xdr:colOff>675860</xdr:colOff>
      <xdr:row>0</xdr:row>
      <xdr:rowOff>337930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/>
      </xdr:nvSpPr>
      <xdr:spPr>
        <a:xfrm>
          <a:off x="3362906" y="56322"/>
          <a:ext cx="959124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406347</xdr:colOff>
      <xdr:row>0</xdr:row>
      <xdr:rowOff>33463</xdr:rowOff>
    </xdr:from>
    <xdr:to>
      <xdr:col>11</xdr:col>
      <xdr:colOff>72390</xdr:colOff>
      <xdr:row>0</xdr:row>
      <xdr:rowOff>350521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/>
      </xdr:nvSpPr>
      <xdr:spPr>
        <a:xfrm>
          <a:off x="7580577" y="33463"/>
          <a:ext cx="946203" cy="31705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>
    <xdr:from>
      <xdr:col>5</xdr:col>
      <xdr:colOff>32384</xdr:colOff>
      <xdr:row>5</xdr:row>
      <xdr:rowOff>87630</xdr:rowOff>
    </xdr:from>
    <xdr:to>
      <xdr:col>14</xdr:col>
      <xdr:colOff>586740</xdr:colOff>
      <xdr:row>8</xdr:row>
      <xdr:rowOff>647700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3886968</xdr:colOff>
      <xdr:row>0</xdr:row>
      <xdr:rowOff>91184</xdr:rowOff>
    </xdr:from>
    <xdr:to>
      <xdr:col>2</xdr:col>
      <xdr:colOff>4835493</xdr:colOff>
      <xdr:row>1</xdr:row>
      <xdr:rowOff>127131</xdr:rowOff>
    </xdr:to>
    <xdr:sp macro="" textlink="">
      <xdr:nvSpPr>
        <xdr:cNvPr id="21" name="Прямоугольник 2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15000000}"/>
            </a:ext>
          </a:extLst>
        </xdr:cNvPr>
        <xdr:cNvSpPr/>
      </xdr:nvSpPr>
      <xdr:spPr>
        <a:xfrm>
          <a:off x="6532197" y="91184"/>
          <a:ext cx="948525" cy="269990"/>
        </a:xfrm>
        <a:prstGeom prst="rect">
          <a:avLst/>
        </a:prstGeom>
        <a:solidFill>
          <a:srgbClr val="A3A3A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>
    <xdr:from>
      <xdr:col>1</xdr:col>
      <xdr:colOff>381000</xdr:colOff>
      <xdr:row>36</xdr:row>
      <xdr:rowOff>35859</xdr:rowOff>
    </xdr:from>
    <xdr:to>
      <xdr:col>2</xdr:col>
      <xdr:colOff>1358151</xdr:colOff>
      <xdr:row>41</xdr:row>
      <xdr:rowOff>116541</xdr:rowOff>
    </xdr:to>
    <xdr:grpSp>
      <xdr:nvGrpSpPr>
        <xdr:cNvPr id="43" name="Группа 42">
          <a:extLst>
            <a:ext uri="{FF2B5EF4-FFF2-40B4-BE49-F238E27FC236}">
              <a16:creationId xmlns="" xmlns:a16="http://schemas.microsoft.com/office/drawing/2014/main" id="{00000000-0008-0000-0F00-00002B000000}"/>
            </a:ext>
          </a:extLst>
        </xdr:cNvPr>
        <xdr:cNvGrpSpPr/>
      </xdr:nvGrpSpPr>
      <xdr:grpSpPr>
        <a:xfrm>
          <a:off x="2073088" y="6893859"/>
          <a:ext cx="1716739" cy="1033182"/>
          <a:chOff x="640976" y="959224"/>
          <a:chExt cx="1452283" cy="932329"/>
        </a:xfrm>
        <a:effectLst/>
      </xdr:grpSpPr>
      <xdr:sp macro="" textlink="">
        <xdr:nvSpPr>
          <xdr:cNvPr id="39" name="Прямоугольник: скругленные углы 38">
            <a:extLst>
              <a:ext uri="{FF2B5EF4-FFF2-40B4-BE49-F238E27FC236}">
                <a16:creationId xmlns="" xmlns:a16="http://schemas.microsoft.com/office/drawing/2014/main" id="{00000000-0008-0000-0F00-000027000000}"/>
              </a:ext>
            </a:extLst>
          </xdr:cNvPr>
          <xdr:cNvSpPr/>
        </xdr:nvSpPr>
        <xdr:spPr>
          <a:xfrm>
            <a:off x="640976" y="959224"/>
            <a:ext cx="1452283" cy="932329"/>
          </a:xfrm>
          <a:prstGeom prst="roundRect">
            <a:avLst/>
          </a:prstGeom>
          <a:ln>
            <a:solidFill>
              <a:schemeClr val="bg1">
                <a:lumMod val="9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НДС </a:t>
            </a:r>
            <a:r>
              <a:rPr lang="ru-RU" sz="1100">
                <a:latin typeface="Times New Roman" panose="02020603050405020304" pitchFamily="18" charset="0"/>
                <a:cs typeface="Times New Roman" panose="02020603050405020304" pitchFamily="18" charset="0"/>
              </a:rPr>
              <a:t>(млн.руб.)</a:t>
            </a:r>
          </a:p>
        </xdr:txBody>
      </xdr:sp>
      <xdr:sp macro="" textlink="ИтогТаблицы!C71">
        <xdr:nvSpPr>
          <xdr:cNvPr id="41" name="TextBox 40">
            <a:extLst>
              <a:ext uri="{FF2B5EF4-FFF2-40B4-BE49-F238E27FC236}">
                <a16:creationId xmlns="" xmlns:a16="http://schemas.microsoft.com/office/drawing/2014/main" id="{00000000-0008-0000-0F00-000029000000}"/>
              </a:ext>
            </a:extLst>
          </xdr:cNvPr>
          <xdr:cNvSpPr txBox="1"/>
        </xdr:nvSpPr>
        <xdr:spPr>
          <a:xfrm>
            <a:off x="878541" y="1353671"/>
            <a:ext cx="1030941" cy="39444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3C8FAAB3-4E4E-40B6-BE9E-530AECCA8075}" type="TxLink">
              <a:rPr lang="en-US" sz="1800" b="1" i="0" u="none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pPr algn="ctr"/>
              <a:t>77,93</a:t>
            </a:fld>
            <a:endParaRPr lang="ru-RU" sz="18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2</xdr:col>
      <xdr:colOff>1604681</xdr:colOff>
      <xdr:row>36</xdr:row>
      <xdr:rowOff>7365</xdr:rowOff>
    </xdr:from>
    <xdr:to>
      <xdr:col>2</xdr:col>
      <xdr:colOff>3648634</xdr:colOff>
      <xdr:row>41</xdr:row>
      <xdr:rowOff>112061</xdr:rowOff>
    </xdr:to>
    <xdr:grpSp>
      <xdr:nvGrpSpPr>
        <xdr:cNvPr id="3" name="Группа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GrpSpPr/>
      </xdr:nvGrpSpPr>
      <xdr:grpSpPr>
        <a:xfrm>
          <a:off x="4036357" y="6865365"/>
          <a:ext cx="2043953" cy="1057196"/>
          <a:chOff x="2245979" y="1401376"/>
          <a:chExt cx="1842248" cy="1102659"/>
        </a:xfrm>
        <a:effectLst/>
      </xdr:grpSpPr>
      <xdr:sp macro="" textlink="">
        <xdr:nvSpPr>
          <xdr:cNvPr id="52" name="Прямоугольник: скругленные углы 51">
            <a:extLst>
              <a:ext uri="{FF2B5EF4-FFF2-40B4-BE49-F238E27FC236}">
                <a16:creationId xmlns="" xmlns:a16="http://schemas.microsoft.com/office/drawing/2014/main" id="{00000000-0008-0000-0F00-000034000000}"/>
              </a:ext>
            </a:extLst>
          </xdr:cNvPr>
          <xdr:cNvSpPr/>
        </xdr:nvSpPr>
        <xdr:spPr>
          <a:xfrm>
            <a:off x="2245979" y="1401376"/>
            <a:ext cx="1842248" cy="1102659"/>
          </a:xfrm>
          <a:prstGeom prst="roundRect">
            <a:avLst/>
          </a:prstGeom>
          <a:ln>
            <a:solidFill>
              <a:schemeClr val="bg1">
                <a:lumMod val="9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Страховые взносы </a:t>
            </a:r>
            <a:r>
              <a:rPr lang="ru-RU" sz="1100">
                <a:latin typeface="Times New Roman" panose="02020603050405020304" pitchFamily="18" charset="0"/>
                <a:cs typeface="Times New Roman" panose="02020603050405020304" pitchFamily="18" charset="0"/>
              </a:rPr>
              <a:t>(млн.руб.)</a:t>
            </a:r>
          </a:p>
        </xdr:txBody>
      </xdr:sp>
      <xdr:sp macro="" textlink="ИтогТаблицы!C80">
        <xdr:nvSpPr>
          <xdr:cNvPr id="53" name="TextBox 52">
            <a:extLst>
              <a:ext uri="{FF2B5EF4-FFF2-40B4-BE49-F238E27FC236}">
                <a16:creationId xmlns="" xmlns:a16="http://schemas.microsoft.com/office/drawing/2014/main" id="{00000000-0008-0000-0F00-000035000000}"/>
              </a:ext>
            </a:extLst>
          </xdr:cNvPr>
          <xdr:cNvSpPr txBox="1"/>
        </xdr:nvSpPr>
        <xdr:spPr>
          <a:xfrm>
            <a:off x="2389012" y="2056318"/>
            <a:ext cx="1454001" cy="3356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E9B68CDF-A181-42D6-8C36-3641C4147298}" type="TxLink">
              <a:rPr lang="en-US" sz="1800" b="1" i="0" u="none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pPr algn="ctr"/>
              <a:t>37,87</a:t>
            </a:fld>
            <a:endParaRPr lang="ru-RU" sz="18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148238</xdr:colOff>
      <xdr:row>3</xdr:row>
      <xdr:rowOff>143436</xdr:rowOff>
    </xdr:from>
    <xdr:to>
      <xdr:col>2</xdr:col>
      <xdr:colOff>3662082</xdr:colOff>
      <xdr:row>24</xdr:row>
      <xdr:rowOff>22412</xdr:rowOff>
    </xdr:to>
    <xdr:graphicFrame macro="">
      <xdr:nvGraphicFramePr>
        <xdr:cNvPr id="57" name="Диаграмма 56">
          <a:extLst>
            <a:ext uri="{FF2B5EF4-FFF2-40B4-BE49-F238E27FC236}">
              <a16:creationId xmlns="" xmlns:a16="http://schemas.microsoft.com/office/drawing/2014/main" id="{00000000-0008-0000-0F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676835</xdr:colOff>
      <xdr:row>24</xdr:row>
      <xdr:rowOff>161366</xdr:rowOff>
    </xdr:from>
    <xdr:to>
      <xdr:col>2</xdr:col>
      <xdr:colOff>3648635</xdr:colOff>
      <xdr:row>35</xdr:row>
      <xdr:rowOff>89647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179292</xdr:colOff>
      <xdr:row>36</xdr:row>
      <xdr:rowOff>40341</xdr:rowOff>
    </xdr:from>
    <xdr:to>
      <xdr:col>1</xdr:col>
      <xdr:colOff>197222</xdr:colOff>
      <xdr:row>41</xdr:row>
      <xdr:rowOff>80683</xdr:rowOff>
    </xdr:to>
    <xdr:grpSp>
      <xdr:nvGrpSpPr>
        <xdr:cNvPr id="4" name="Группа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GrpSpPr/>
      </xdr:nvGrpSpPr>
      <xdr:grpSpPr>
        <a:xfrm>
          <a:off x="179292" y="6898341"/>
          <a:ext cx="1710018" cy="992842"/>
          <a:chOff x="640976" y="959225"/>
          <a:chExt cx="1452283" cy="826641"/>
        </a:xfrm>
        <a:effectLst/>
      </xdr:grpSpPr>
      <xdr:sp macro="" textlink="">
        <xdr:nvSpPr>
          <xdr:cNvPr id="5" name="Прямоугольник: скругленные углы 4">
            <a:extLst>
              <a:ext uri="{FF2B5EF4-FFF2-40B4-BE49-F238E27FC236}">
                <a16:creationId xmlns="" xmlns:a16="http://schemas.microsoft.com/office/drawing/2014/main" id="{00000000-0008-0000-0F00-000005000000}"/>
              </a:ext>
            </a:extLst>
          </xdr:cNvPr>
          <xdr:cNvSpPr/>
        </xdr:nvSpPr>
        <xdr:spPr>
          <a:xfrm>
            <a:off x="640976" y="959225"/>
            <a:ext cx="1452283" cy="826641"/>
          </a:xfrm>
          <a:prstGeom prst="roundRect">
            <a:avLst/>
          </a:prstGeom>
          <a:ln>
            <a:solidFill>
              <a:schemeClr val="bg1">
                <a:lumMod val="9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Тамож.пошлины </a:t>
            </a:r>
            <a:r>
              <a:rPr lang="ru-RU" sz="1100">
                <a:latin typeface="Times New Roman" panose="02020603050405020304" pitchFamily="18" charset="0"/>
                <a:cs typeface="Times New Roman" panose="02020603050405020304" pitchFamily="18" charset="0"/>
              </a:rPr>
              <a:t>(млн.руб.)</a:t>
            </a:r>
          </a:p>
        </xdr:txBody>
      </xdr:sp>
      <xdr:sp macro="" textlink="ИтогТаблицы!C71">
        <xdr:nvSpPr>
          <xdr:cNvPr id="6" name="TextBox 5">
            <a:extLst>
              <a:ext uri="{FF2B5EF4-FFF2-40B4-BE49-F238E27FC236}">
                <a16:creationId xmlns="" xmlns:a16="http://schemas.microsoft.com/office/drawing/2014/main" id="{00000000-0008-0000-0F00-000006000000}"/>
              </a:ext>
            </a:extLst>
          </xdr:cNvPr>
          <xdr:cNvSpPr txBox="1"/>
        </xdr:nvSpPr>
        <xdr:spPr>
          <a:xfrm>
            <a:off x="870098" y="1457472"/>
            <a:ext cx="1039384" cy="29064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ru-RU" sz="18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147918</xdr:colOff>
      <xdr:row>24</xdr:row>
      <xdr:rowOff>134472</xdr:rowOff>
    </xdr:from>
    <xdr:to>
      <xdr:col>2</xdr:col>
      <xdr:colOff>506506</xdr:colOff>
      <xdr:row>35</xdr:row>
      <xdr:rowOff>103094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4002740</xdr:colOff>
      <xdr:row>3</xdr:row>
      <xdr:rowOff>125506</xdr:rowOff>
    </xdr:from>
    <xdr:to>
      <xdr:col>4</xdr:col>
      <xdr:colOff>1183340</xdr:colOff>
      <xdr:row>23</xdr:row>
      <xdr:rowOff>170330</xdr:rowOff>
    </xdr:to>
    <xdr:graphicFrame macro="">
      <xdr:nvGraphicFramePr>
        <xdr:cNvPr id="8" name="Диаграмма 7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4025152</xdr:colOff>
      <xdr:row>24</xdr:row>
      <xdr:rowOff>170329</xdr:rowOff>
    </xdr:from>
    <xdr:to>
      <xdr:col>4</xdr:col>
      <xdr:colOff>40340</xdr:colOff>
      <xdr:row>42</xdr:row>
      <xdr:rowOff>40341</xdr:rowOff>
    </xdr:to>
    <xdr:graphicFrame macro="">
      <xdr:nvGraphicFramePr>
        <xdr:cNvPr id="9" name="Диаграмма 8">
          <a:extLst>
            <a:ext uri="{FF2B5EF4-FFF2-40B4-BE49-F238E27FC236}">
              <a16:creationId xmlns=""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0.43714</cdr:x>
      <cdr:y>0.44716</cdr:y>
    </cdr:from>
    <cdr:to>
      <cdr:x>0.59997</cdr:x>
      <cdr:y>0.6247</cdr:y>
    </cdr:to>
    <cdr:sp macro="" textlink="НалогСвод!$E$16">
      <cdr:nvSpPr>
        <cdr:cNvPr id="3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80BB6C6E-FB65-5C25-8C5B-EEE12C43DBEC}"/>
            </a:ext>
          </a:extLst>
        </cdr:cNvPr>
        <cdr:cNvSpPr txBox="1"/>
      </cdr:nvSpPr>
      <cdr:spPr>
        <a:xfrm xmlns:a="http://schemas.openxmlformats.org/drawingml/2006/main">
          <a:off x="2694083" y="1671594"/>
          <a:ext cx="1003507" cy="663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19B431-15EC-4C73-950E-37F833864982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всего: 188,74</a:t>
          </a:fld>
          <a:endParaRPr lang="ru-RU" sz="1600" b="1">
            <a:solidFill>
              <a:sysClr val="windowText" lastClr="000000"/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0.42232</cdr:x>
      <cdr:y>0.50625</cdr:y>
    </cdr:from>
    <cdr:to>
      <cdr:x>0.60181</cdr:x>
      <cdr:y>0.66437</cdr:y>
    </cdr:to>
    <cdr:sp macro="" textlink="Персонал!$A$51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AE7415D5-74E0-FC8F-E32D-394CD2C03372}"/>
            </a:ext>
          </a:extLst>
        </cdr:cNvPr>
        <cdr:cNvSpPr txBox="1"/>
      </cdr:nvSpPr>
      <cdr:spPr>
        <a:xfrm xmlns:a="http://schemas.openxmlformats.org/drawingml/2006/main">
          <a:off x="1255051" y="987097"/>
          <a:ext cx="533408" cy="308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C9CD58F-A355-4177-ACEF-FDFB58CD1FF2}" type="TxLink"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64,8 </a:t>
          </a:fld>
          <a:endParaRPr lang="ru-RU" sz="1200" b="1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0.41282</cdr:x>
      <cdr:y>0.49949</cdr:y>
    </cdr:from>
    <cdr:to>
      <cdr:x>0.56917</cdr:x>
      <cdr:y>0.63964</cdr:y>
    </cdr:to>
    <cdr:sp macro="" textlink="НалПрибыль!$A$27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AE7415D5-74E0-FC8F-E32D-394CD2C03372}"/>
            </a:ext>
          </a:extLst>
        </cdr:cNvPr>
        <cdr:cNvSpPr txBox="1"/>
      </cdr:nvSpPr>
      <cdr:spPr>
        <a:xfrm xmlns:a="http://schemas.openxmlformats.org/drawingml/2006/main">
          <a:off x="1241612" y="994073"/>
          <a:ext cx="470257" cy="278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6CDDABC-48EC-4C16-BF9E-C51537E6A896}" type="TxLink"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0,0 </a:t>
          </a:fld>
          <a:endParaRPr lang="ru-RU" sz="1600" b="1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0.44493</cdr:x>
      <cdr:y>0.47343</cdr:y>
    </cdr:from>
    <cdr:to>
      <cdr:x>0.58188</cdr:x>
      <cdr:y>0.58696</cdr:y>
    </cdr:to>
    <cdr:sp macro="" textlink="НалогСвод!$A$23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A04BA984-CB11-79B8-0BB7-0C4C05EF6E73}"/>
            </a:ext>
          </a:extLst>
        </cdr:cNvPr>
        <cdr:cNvSpPr txBox="1"/>
      </cdr:nvSpPr>
      <cdr:spPr>
        <a:xfrm xmlns:a="http://schemas.openxmlformats.org/drawingml/2006/main">
          <a:off x="2034210" y="1298712"/>
          <a:ext cx="626165" cy="311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8BBDF34-D99E-4418-B5BC-7FA528844350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112 </a:t>
          </a:fld>
          <a:endParaRPr lang="ru-RU" sz="1400" b="1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516836</xdr:colOff>
      <xdr:row>0</xdr:row>
      <xdr:rowOff>56322</xdr:rowOff>
    </xdr:from>
    <xdr:to>
      <xdr:col>3</xdr:col>
      <xdr:colOff>675860</xdr:colOff>
      <xdr:row>0</xdr:row>
      <xdr:rowOff>337930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SpPr/>
      </xdr:nvSpPr>
      <xdr:spPr>
        <a:xfrm>
          <a:off x="3362906" y="56322"/>
          <a:ext cx="959124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152401</xdr:colOff>
      <xdr:row>0</xdr:row>
      <xdr:rowOff>43070</xdr:rowOff>
    </xdr:from>
    <xdr:to>
      <xdr:col>6</xdr:col>
      <xdr:colOff>304799</xdr:colOff>
      <xdr:row>0</xdr:row>
      <xdr:rowOff>324678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/>
      </xdr:nvSpPr>
      <xdr:spPr>
        <a:xfrm>
          <a:off x="4601818" y="43070"/>
          <a:ext cx="960781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465482</xdr:colOff>
      <xdr:row>0</xdr:row>
      <xdr:rowOff>104194</xdr:rowOff>
    </xdr:from>
    <xdr:to>
      <xdr:col>3</xdr:col>
      <xdr:colOff>604297</xdr:colOff>
      <xdr:row>0</xdr:row>
      <xdr:rowOff>319542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/>
      </xdr:nvSpPr>
      <xdr:spPr>
        <a:xfrm>
          <a:off x="3380132" y="104194"/>
          <a:ext cx="938915" cy="21534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492152</xdr:colOff>
      <xdr:row>0</xdr:row>
      <xdr:rowOff>62284</xdr:rowOff>
    </xdr:from>
    <xdr:to>
      <xdr:col>3</xdr:col>
      <xdr:colOff>630967</xdr:colOff>
      <xdr:row>0</xdr:row>
      <xdr:rowOff>277632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/>
      </xdr:nvSpPr>
      <xdr:spPr>
        <a:xfrm>
          <a:off x="3258212" y="62284"/>
          <a:ext cx="938915" cy="21534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503582</xdr:colOff>
      <xdr:row>0</xdr:row>
      <xdr:rowOff>16564</xdr:rowOff>
    </xdr:from>
    <xdr:to>
      <xdr:col>7</xdr:col>
      <xdr:colOff>162337</xdr:colOff>
      <xdr:row>0</xdr:row>
      <xdr:rowOff>231912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/>
      </xdr:nvSpPr>
      <xdr:spPr>
        <a:xfrm>
          <a:off x="4877462" y="16564"/>
          <a:ext cx="938915" cy="21534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488342</xdr:colOff>
      <xdr:row>0</xdr:row>
      <xdr:rowOff>66094</xdr:rowOff>
    </xdr:from>
    <xdr:to>
      <xdr:col>3</xdr:col>
      <xdr:colOff>627157</xdr:colOff>
      <xdr:row>0</xdr:row>
      <xdr:rowOff>281442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SpPr/>
      </xdr:nvSpPr>
      <xdr:spPr>
        <a:xfrm>
          <a:off x="3361082" y="66094"/>
          <a:ext cx="938915" cy="21534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530252</xdr:colOff>
      <xdr:row>0</xdr:row>
      <xdr:rowOff>66094</xdr:rowOff>
    </xdr:from>
    <xdr:to>
      <xdr:col>3</xdr:col>
      <xdr:colOff>669067</xdr:colOff>
      <xdr:row>0</xdr:row>
      <xdr:rowOff>281442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SpPr/>
      </xdr:nvSpPr>
      <xdr:spPr>
        <a:xfrm>
          <a:off x="3437282" y="66094"/>
          <a:ext cx="938915" cy="21534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516836</xdr:colOff>
      <xdr:row>0</xdr:row>
      <xdr:rowOff>56322</xdr:rowOff>
    </xdr:from>
    <xdr:to>
      <xdr:col>3</xdr:col>
      <xdr:colOff>675860</xdr:colOff>
      <xdr:row>0</xdr:row>
      <xdr:rowOff>337930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SpPr/>
      </xdr:nvSpPr>
      <xdr:spPr>
        <a:xfrm>
          <a:off x="3362906" y="56322"/>
          <a:ext cx="959124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544499</xdr:colOff>
      <xdr:row>0</xdr:row>
      <xdr:rowOff>80672</xdr:rowOff>
    </xdr:from>
    <xdr:to>
      <xdr:col>3</xdr:col>
      <xdr:colOff>705843</xdr:colOff>
      <xdr:row>0</xdr:row>
      <xdr:rowOff>362280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SpPr/>
      </xdr:nvSpPr>
      <xdr:spPr>
        <a:xfrm>
          <a:off x="3390569" y="80672"/>
          <a:ext cx="961444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549966</xdr:colOff>
      <xdr:row>0</xdr:row>
      <xdr:rowOff>69573</xdr:rowOff>
    </xdr:from>
    <xdr:to>
      <xdr:col>3</xdr:col>
      <xdr:colOff>708990</xdr:colOff>
      <xdr:row>0</xdr:row>
      <xdr:rowOff>351181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SpPr/>
      </xdr:nvSpPr>
      <xdr:spPr>
        <a:xfrm>
          <a:off x="3395870" y="69573"/>
          <a:ext cx="960781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536714</xdr:colOff>
      <xdr:row>0</xdr:row>
      <xdr:rowOff>62947</xdr:rowOff>
    </xdr:from>
    <xdr:to>
      <xdr:col>3</xdr:col>
      <xdr:colOff>695738</xdr:colOff>
      <xdr:row>0</xdr:row>
      <xdr:rowOff>344555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SpPr/>
      </xdr:nvSpPr>
      <xdr:spPr>
        <a:xfrm>
          <a:off x="3382618" y="62947"/>
          <a:ext cx="960781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516836</xdr:colOff>
      <xdr:row>0</xdr:row>
      <xdr:rowOff>56322</xdr:rowOff>
    </xdr:from>
    <xdr:to>
      <xdr:col>3</xdr:col>
      <xdr:colOff>675860</xdr:colOff>
      <xdr:row>0</xdr:row>
      <xdr:rowOff>337930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SpPr/>
      </xdr:nvSpPr>
      <xdr:spPr>
        <a:xfrm>
          <a:off x="3362906" y="56322"/>
          <a:ext cx="959124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516836</xdr:colOff>
      <xdr:row>0</xdr:row>
      <xdr:rowOff>56322</xdr:rowOff>
    </xdr:from>
    <xdr:to>
      <xdr:col>3</xdr:col>
      <xdr:colOff>675860</xdr:colOff>
      <xdr:row>0</xdr:row>
      <xdr:rowOff>337930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SpPr/>
      </xdr:nvSpPr>
      <xdr:spPr>
        <a:xfrm>
          <a:off x="3362906" y="56322"/>
          <a:ext cx="959124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82826</xdr:colOff>
      <xdr:row>0</xdr:row>
      <xdr:rowOff>56322</xdr:rowOff>
    </xdr:from>
    <xdr:to>
      <xdr:col>6</xdr:col>
      <xdr:colOff>404190</xdr:colOff>
      <xdr:row>0</xdr:row>
      <xdr:rowOff>337930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SpPr/>
      </xdr:nvSpPr>
      <xdr:spPr>
        <a:xfrm>
          <a:off x="4701209" y="56322"/>
          <a:ext cx="960781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516836</xdr:colOff>
      <xdr:row>0</xdr:row>
      <xdr:rowOff>56322</xdr:rowOff>
    </xdr:from>
    <xdr:to>
      <xdr:col>3</xdr:col>
      <xdr:colOff>675860</xdr:colOff>
      <xdr:row>0</xdr:row>
      <xdr:rowOff>337930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SpPr/>
      </xdr:nvSpPr>
      <xdr:spPr>
        <a:xfrm>
          <a:off x="3362906" y="56322"/>
          <a:ext cx="959124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67257</xdr:colOff>
      <xdr:row>0</xdr:row>
      <xdr:rowOff>25843</xdr:rowOff>
    </xdr:from>
    <xdr:to>
      <xdr:col>6</xdr:col>
      <xdr:colOff>373380</xdr:colOff>
      <xdr:row>0</xdr:row>
      <xdr:rowOff>342901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SpPr/>
      </xdr:nvSpPr>
      <xdr:spPr>
        <a:xfrm>
          <a:off x="4681167" y="25843"/>
          <a:ext cx="946203" cy="31705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>
    <xdr:from>
      <xdr:col>5</xdr:col>
      <xdr:colOff>259823</xdr:colOff>
      <xdr:row>14</xdr:row>
      <xdr:rowOff>146270</xdr:rowOff>
    </xdr:from>
    <xdr:to>
      <xdr:col>16</xdr:col>
      <xdr:colOff>112642</xdr:colOff>
      <xdr:row>31</xdr:row>
      <xdr:rowOff>140473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472440</xdr:colOff>
      <xdr:row>0</xdr:row>
      <xdr:rowOff>34290</xdr:rowOff>
    </xdr:from>
    <xdr:to>
      <xdr:col>3</xdr:col>
      <xdr:colOff>712800</xdr:colOff>
      <xdr:row>0</xdr:row>
      <xdr:rowOff>249638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SpPr/>
      </xdr:nvSpPr>
      <xdr:spPr>
        <a:xfrm>
          <a:off x="3646170" y="34290"/>
          <a:ext cx="937590" cy="21534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>
    <xdr:from>
      <xdr:col>4</xdr:col>
      <xdr:colOff>76200</xdr:colOff>
      <xdr:row>43</xdr:row>
      <xdr:rowOff>26670</xdr:rowOff>
    </xdr:from>
    <xdr:to>
      <xdr:col>14</xdr:col>
      <xdr:colOff>621030</xdr:colOff>
      <xdr:row>60</xdr:row>
      <xdr:rowOff>129540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64770</xdr:colOff>
      <xdr:row>61</xdr:row>
      <xdr:rowOff>68580</xdr:rowOff>
    </xdr:from>
    <xdr:to>
      <xdr:col>15</xdr:col>
      <xdr:colOff>0</xdr:colOff>
      <xdr:row>75</xdr:row>
      <xdr:rowOff>148590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2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133680</xdr:colOff>
      <xdr:row>0</xdr:row>
      <xdr:rowOff>66095</xdr:rowOff>
    </xdr:from>
    <xdr:to>
      <xdr:col>6</xdr:col>
      <xdr:colOff>442125</xdr:colOff>
      <xdr:row>0</xdr:row>
      <xdr:rowOff>334452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SpPr/>
      </xdr:nvSpPr>
      <xdr:spPr>
        <a:xfrm>
          <a:off x="5280990" y="66095"/>
          <a:ext cx="948525" cy="268357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2176670</xdr:colOff>
      <xdr:row>0</xdr:row>
      <xdr:rowOff>43069</xdr:rowOff>
    </xdr:from>
    <xdr:to>
      <xdr:col>2</xdr:col>
      <xdr:colOff>440635</xdr:colOff>
      <xdr:row>0</xdr:row>
      <xdr:rowOff>301487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200-000002000000}"/>
            </a:ext>
          </a:extLst>
        </xdr:cNvPr>
        <xdr:cNvSpPr/>
      </xdr:nvSpPr>
      <xdr:spPr>
        <a:xfrm>
          <a:off x="2831990" y="43069"/>
          <a:ext cx="873815" cy="25841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>
    <xdr:from>
      <xdr:col>4</xdr:col>
      <xdr:colOff>72391</xdr:colOff>
      <xdr:row>44</xdr:row>
      <xdr:rowOff>142875</xdr:rowOff>
    </xdr:from>
    <xdr:to>
      <xdr:col>14</xdr:col>
      <xdr:colOff>537210</xdr:colOff>
      <xdr:row>59</xdr:row>
      <xdr:rowOff>142875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74295</xdr:colOff>
      <xdr:row>63</xdr:row>
      <xdr:rowOff>114300</xdr:rowOff>
    </xdr:from>
    <xdr:to>
      <xdr:col>14</xdr:col>
      <xdr:colOff>541020</xdr:colOff>
      <xdr:row>78</xdr:row>
      <xdr:rowOff>114300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2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510209</xdr:colOff>
      <xdr:row>0</xdr:row>
      <xdr:rowOff>82825</xdr:rowOff>
    </xdr:from>
    <xdr:to>
      <xdr:col>1</xdr:col>
      <xdr:colOff>1447137</xdr:colOff>
      <xdr:row>1</xdr:row>
      <xdr:rowOff>66260</xdr:rowOff>
    </xdr:to>
    <xdr:sp macro="" textlink="">
      <xdr:nvSpPr>
        <xdr:cNvPr id="3" name="Прямоугольник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300-000003000000}"/>
            </a:ext>
          </a:extLst>
        </xdr:cNvPr>
        <xdr:cNvSpPr/>
      </xdr:nvSpPr>
      <xdr:spPr>
        <a:xfrm>
          <a:off x="1351722" y="82825"/>
          <a:ext cx="936928" cy="21534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>
    <xdr:from>
      <xdr:col>15</xdr:col>
      <xdr:colOff>59635</xdr:colOff>
      <xdr:row>66</xdr:row>
      <xdr:rowOff>0</xdr:rowOff>
    </xdr:from>
    <xdr:to>
      <xdr:col>19</xdr:col>
      <xdr:colOff>36444</xdr:colOff>
      <xdr:row>69</xdr:row>
      <xdr:rowOff>0</xdr:rowOff>
    </xdr:to>
    <xdr:sp macro="" textlink="">
      <xdr:nvSpPr>
        <xdr:cNvPr id="2" name="Прямоугольник 1">
          <a:extLst>
            <a:ext uri="{FF2B5EF4-FFF2-40B4-BE49-F238E27FC236}">
              <a16:creationId xmlns="" xmlns:a16="http://schemas.microsoft.com/office/drawing/2014/main" id="{00000000-0008-0000-2300-000002000000}"/>
            </a:ext>
          </a:extLst>
        </xdr:cNvPr>
        <xdr:cNvSpPr/>
      </xdr:nvSpPr>
      <xdr:spPr>
        <a:xfrm>
          <a:off x="10114722" y="1298713"/>
          <a:ext cx="2067339" cy="1381539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 b="1"/>
            <a:t>Примечание:</a:t>
          </a:r>
          <a:endParaRPr lang="en-US" sz="1100" b="1"/>
        </a:p>
        <a:p>
          <a:pPr algn="l"/>
          <a:r>
            <a:rPr lang="ru-RU" sz="1100"/>
            <a:t>По умолчанию</a:t>
          </a:r>
          <a:r>
            <a:rPr lang="ru-RU" sz="1100" baseline="0"/>
            <a:t> 0 (ноль) - ошибки нет;</a:t>
          </a:r>
        </a:p>
        <a:p>
          <a:pPr algn="l"/>
          <a:r>
            <a:rPr lang="ru-RU" sz="1100" baseline="0"/>
            <a:t>Любое число отличное от нуля говорит о наличии ошибки. Переходите по ссылке "источник" в столбце </a:t>
          </a:r>
          <a:r>
            <a:rPr lang="en-US" sz="1100" baseline="0"/>
            <a:t>A</a:t>
          </a:r>
          <a:endParaRPr lang="ru-R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7</xdr:row>
          <xdr:rowOff>95250</xdr:rowOff>
        </xdr:from>
        <xdr:to>
          <xdr:col>16</xdr:col>
          <xdr:colOff>466725</xdr:colOff>
          <xdr:row>7</xdr:row>
          <xdr:rowOff>295275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8</xdr:row>
          <xdr:rowOff>95250</xdr:rowOff>
        </xdr:from>
        <xdr:to>
          <xdr:col>16</xdr:col>
          <xdr:colOff>466725</xdr:colOff>
          <xdr:row>8</xdr:row>
          <xdr:rowOff>295275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9</xdr:row>
          <xdr:rowOff>95250</xdr:rowOff>
        </xdr:from>
        <xdr:to>
          <xdr:col>16</xdr:col>
          <xdr:colOff>466725</xdr:colOff>
          <xdr:row>9</xdr:row>
          <xdr:rowOff>295275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10</xdr:row>
          <xdr:rowOff>95250</xdr:rowOff>
        </xdr:from>
        <xdr:to>
          <xdr:col>16</xdr:col>
          <xdr:colOff>466725</xdr:colOff>
          <xdr:row>10</xdr:row>
          <xdr:rowOff>295275</xdr:rowOff>
        </xdr:to>
        <xdr:sp macro="" textlink="">
          <xdr:nvSpPr>
            <xdr:cNvPr id="43012" name="Check Box 4" hidden="1">
              <a:extLst>
                <a:ext uri="{63B3BB69-23CF-44E3-9099-C40C66FF867C}">
                  <a14:compatExt spid="_x0000_s4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13</xdr:row>
          <xdr:rowOff>95250</xdr:rowOff>
        </xdr:from>
        <xdr:to>
          <xdr:col>16</xdr:col>
          <xdr:colOff>466725</xdr:colOff>
          <xdr:row>13</xdr:row>
          <xdr:rowOff>295275</xdr:rowOff>
        </xdr:to>
        <xdr:sp macro="" textlink="">
          <xdr:nvSpPr>
            <xdr:cNvPr id="43013" name="Check Box 5" hidden="1">
              <a:extLst>
                <a:ext uri="{63B3BB69-23CF-44E3-9099-C40C66FF867C}">
                  <a14:compatExt spid="_x0000_s4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17</xdr:row>
          <xdr:rowOff>19050</xdr:rowOff>
        </xdr:from>
        <xdr:to>
          <xdr:col>16</xdr:col>
          <xdr:colOff>428625</xdr:colOff>
          <xdr:row>17</xdr:row>
          <xdr:rowOff>228600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18</xdr:row>
          <xdr:rowOff>19050</xdr:rowOff>
        </xdr:from>
        <xdr:to>
          <xdr:col>16</xdr:col>
          <xdr:colOff>428625</xdr:colOff>
          <xdr:row>18</xdr:row>
          <xdr:rowOff>228600</xdr:rowOff>
        </xdr:to>
        <xdr:sp macro="" textlink="">
          <xdr:nvSpPr>
            <xdr:cNvPr id="43015" name="Check Box 7" hidden="1">
              <a:extLst>
                <a:ext uri="{63B3BB69-23CF-44E3-9099-C40C66FF867C}">
                  <a14:compatExt spid="_x0000_s4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19</xdr:row>
          <xdr:rowOff>19050</xdr:rowOff>
        </xdr:from>
        <xdr:to>
          <xdr:col>16</xdr:col>
          <xdr:colOff>428625</xdr:colOff>
          <xdr:row>19</xdr:row>
          <xdr:rowOff>228600</xdr:rowOff>
        </xdr:to>
        <xdr:sp macro="" textlink="">
          <xdr:nvSpPr>
            <xdr:cNvPr id="43016" name="Check Box 8" hidden="1">
              <a:extLst>
                <a:ext uri="{63B3BB69-23CF-44E3-9099-C40C66FF867C}">
                  <a14:compatExt spid="_x0000_s4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20</xdr:row>
          <xdr:rowOff>19050</xdr:rowOff>
        </xdr:from>
        <xdr:to>
          <xdr:col>16</xdr:col>
          <xdr:colOff>428625</xdr:colOff>
          <xdr:row>20</xdr:row>
          <xdr:rowOff>228600</xdr:rowOff>
        </xdr:to>
        <xdr:sp macro="" textlink="">
          <xdr:nvSpPr>
            <xdr:cNvPr id="43017" name="Check Box 9" hidden="1">
              <a:extLst>
                <a:ext uri="{63B3BB69-23CF-44E3-9099-C40C66FF867C}">
                  <a14:compatExt spid="_x0000_s4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21</xdr:row>
          <xdr:rowOff>19050</xdr:rowOff>
        </xdr:from>
        <xdr:to>
          <xdr:col>16</xdr:col>
          <xdr:colOff>428625</xdr:colOff>
          <xdr:row>21</xdr:row>
          <xdr:rowOff>228600</xdr:rowOff>
        </xdr:to>
        <xdr:sp macro="" textlink="">
          <xdr:nvSpPr>
            <xdr:cNvPr id="43018" name="Check Box 10" hidden="1">
              <a:extLst>
                <a:ext uri="{63B3BB69-23CF-44E3-9099-C40C66FF867C}">
                  <a14:compatExt spid="_x0000_s4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24</xdr:row>
          <xdr:rowOff>495300</xdr:rowOff>
        </xdr:from>
        <xdr:to>
          <xdr:col>16</xdr:col>
          <xdr:colOff>419100</xdr:colOff>
          <xdr:row>24</xdr:row>
          <xdr:rowOff>704850</xdr:rowOff>
        </xdr:to>
        <xdr:sp macro="" textlink="">
          <xdr:nvSpPr>
            <xdr:cNvPr id="43019" name="Check Box 11" hidden="1">
              <a:extLst>
                <a:ext uri="{63B3BB69-23CF-44E3-9099-C40C66FF867C}">
                  <a14:compatExt spid="_x0000_s4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27</xdr:row>
          <xdr:rowOff>19050</xdr:rowOff>
        </xdr:from>
        <xdr:to>
          <xdr:col>16</xdr:col>
          <xdr:colOff>428625</xdr:colOff>
          <xdr:row>27</xdr:row>
          <xdr:rowOff>228600</xdr:rowOff>
        </xdr:to>
        <xdr:sp macro="" textlink="">
          <xdr:nvSpPr>
            <xdr:cNvPr id="43021" name="Check Box 13" hidden="1">
              <a:extLst>
                <a:ext uri="{63B3BB69-23CF-44E3-9099-C40C66FF867C}">
                  <a14:compatExt spid="_x0000_s4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30</xdr:row>
          <xdr:rowOff>19050</xdr:rowOff>
        </xdr:from>
        <xdr:to>
          <xdr:col>16</xdr:col>
          <xdr:colOff>428625</xdr:colOff>
          <xdr:row>30</xdr:row>
          <xdr:rowOff>228600</xdr:rowOff>
        </xdr:to>
        <xdr:sp macro="" textlink="">
          <xdr:nvSpPr>
            <xdr:cNvPr id="43022" name="Check Box 14" hidden="1">
              <a:extLst>
                <a:ext uri="{63B3BB69-23CF-44E3-9099-C40C66FF867C}">
                  <a14:compatExt spid="_x0000_s4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33</xdr:row>
          <xdr:rowOff>19050</xdr:rowOff>
        </xdr:from>
        <xdr:to>
          <xdr:col>16</xdr:col>
          <xdr:colOff>428625</xdr:colOff>
          <xdr:row>33</xdr:row>
          <xdr:rowOff>228600</xdr:rowOff>
        </xdr:to>
        <xdr:sp macro="" textlink="">
          <xdr:nvSpPr>
            <xdr:cNvPr id="43023" name="Check Box 15" hidden="1">
              <a:extLst>
                <a:ext uri="{63B3BB69-23CF-44E3-9099-C40C66FF867C}">
                  <a14:compatExt spid="_x0000_s4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39</xdr:row>
          <xdr:rowOff>190500</xdr:rowOff>
        </xdr:from>
        <xdr:to>
          <xdr:col>16</xdr:col>
          <xdr:colOff>409575</xdr:colOff>
          <xdr:row>39</xdr:row>
          <xdr:rowOff>400050</xdr:rowOff>
        </xdr:to>
        <xdr:sp macro="" textlink="">
          <xdr:nvSpPr>
            <xdr:cNvPr id="43024" name="Check Box 16" hidden="1">
              <a:extLst>
                <a:ext uri="{63B3BB69-23CF-44E3-9099-C40C66FF867C}">
                  <a14:compatExt spid="_x0000_s4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40</xdr:row>
          <xdr:rowOff>190500</xdr:rowOff>
        </xdr:from>
        <xdr:to>
          <xdr:col>16</xdr:col>
          <xdr:colOff>409575</xdr:colOff>
          <xdr:row>40</xdr:row>
          <xdr:rowOff>400050</xdr:rowOff>
        </xdr:to>
        <xdr:sp macro="" textlink="">
          <xdr:nvSpPr>
            <xdr:cNvPr id="43025" name="Check Box 17" hidden="1">
              <a:extLst>
                <a:ext uri="{63B3BB69-23CF-44E3-9099-C40C66FF867C}">
                  <a14:compatExt spid="_x0000_s4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44</xdr:row>
          <xdr:rowOff>47625</xdr:rowOff>
        </xdr:from>
        <xdr:to>
          <xdr:col>16</xdr:col>
          <xdr:colOff>438150</xdr:colOff>
          <xdr:row>44</xdr:row>
          <xdr:rowOff>257175</xdr:rowOff>
        </xdr:to>
        <xdr:sp macro="" textlink="">
          <xdr:nvSpPr>
            <xdr:cNvPr id="43026" name="Check Box 18" hidden="1">
              <a:extLst>
                <a:ext uri="{63B3BB69-23CF-44E3-9099-C40C66FF867C}">
                  <a14:compatExt spid="_x0000_s43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45</xdr:row>
          <xdr:rowOff>47625</xdr:rowOff>
        </xdr:from>
        <xdr:to>
          <xdr:col>16</xdr:col>
          <xdr:colOff>438150</xdr:colOff>
          <xdr:row>45</xdr:row>
          <xdr:rowOff>257175</xdr:rowOff>
        </xdr:to>
        <xdr:sp macro="" textlink="">
          <xdr:nvSpPr>
            <xdr:cNvPr id="43027" name="Check Box 19" hidden="1">
              <a:extLst>
                <a:ext uri="{63B3BB69-23CF-44E3-9099-C40C66FF867C}">
                  <a14:compatExt spid="_x0000_s4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46</xdr:row>
          <xdr:rowOff>47625</xdr:rowOff>
        </xdr:from>
        <xdr:to>
          <xdr:col>16</xdr:col>
          <xdr:colOff>438150</xdr:colOff>
          <xdr:row>46</xdr:row>
          <xdr:rowOff>257175</xdr:rowOff>
        </xdr:to>
        <xdr:sp macro="" textlink="">
          <xdr:nvSpPr>
            <xdr:cNvPr id="43028" name="Check Box 20" hidden="1">
              <a:extLst>
                <a:ext uri="{63B3BB69-23CF-44E3-9099-C40C66FF867C}">
                  <a14:compatExt spid="_x0000_s4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47</xdr:row>
          <xdr:rowOff>47625</xdr:rowOff>
        </xdr:from>
        <xdr:to>
          <xdr:col>16</xdr:col>
          <xdr:colOff>438150</xdr:colOff>
          <xdr:row>47</xdr:row>
          <xdr:rowOff>257175</xdr:rowOff>
        </xdr:to>
        <xdr:sp macro="" textlink="">
          <xdr:nvSpPr>
            <xdr:cNvPr id="43029" name="Check Box 21" hidden="1">
              <a:extLst>
                <a:ext uri="{63B3BB69-23CF-44E3-9099-C40C66FF867C}">
                  <a14:compatExt spid="_x0000_s4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48</xdr:row>
          <xdr:rowOff>47625</xdr:rowOff>
        </xdr:from>
        <xdr:to>
          <xdr:col>16</xdr:col>
          <xdr:colOff>438150</xdr:colOff>
          <xdr:row>48</xdr:row>
          <xdr:rowOff>257175</xdr:rowOff>
        </xdr:to>
        <xdr:sp macro="" textlink="">
          <xdr:nvSpPr>
            <xdr:cNvPr id="43030" name="Check Box 22" hidden="1">
              <a:extLst>
                <a:ext uri="{63B3BB69-23CF-44E3-9099-C40C66FF867C}">
                  <a14:compatExt spid="_x0000_s4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49</xdr:row>
          <xdr:rowOff>47625</xdr:rowOff>
        </xdr:from>
        <xdr:to>
          <xdr:col>16</xdr:col>
          <xdr:colOff>438150</xdr:colOff>
          <xdr:row>49</xdr:row>
          <xdr:rowOff>257175</xdr:rowOff>
        </xdr:to>
        <xdr:sp macro="" textlink="">
          <xdr:nvSpPr>
            <xdr:cNvPr id="43031" name="Check Box 23" hidden="1">
              <a:extLst>
                <a:ext uri="{63B3BB69-23CF-44E3-9099-C40C66FF867C}">
                  <a14:compatExt spid="_x0000_s4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52</xdr:row>
          <xdr:rowOff>47625</xdr:rowOff>
        </xdr:from>
        <xdr:to>
          <xdr:col>16</xdr:col>
          <xdr:colOff>438150</xdr:colOff>
          <xdr:row>52</xdr:row>
          <xdr:rowOff>257175</xdr:rowOff>
        </xdr:to>
        <xdr:sp macro="" textlink="">
          <xdr:nvSpPr>
            <xdr:cNvPr id="43034" name="Check Box 26" hidden="1">
              <a:extLst>
                <a:ext uri="{63B3BB69-23CF-44E3-9099-C40C66FF867C}">
                  <a14:compatExt spid="_x0000_s43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55</xdr:row>
          <xdr:rowOff>47625</xdr:rowOff>
        </xdr:from>
        <xdr:to>
          <xdr:col>16</xdr:col>
          <xdr:colOff>438150</xdr:colOff>
          <xdr:row>55</xdr:row>
          <xdr:rowOff>257175</xdr:rowOff>
        </xdr:to>
        <xdr:sp macro="" textlink="">
          <xdr:nvSpPr>
            <xdr:cNvPr id="43035" name="Check Box 27" hidden="1">
              <a:extLst>
                <a:ext uri="{63B3BB69-23CF-44E3-9099-C40C66FF867C}">
                  <a14:compatExt spid="_x0000_s43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58</xdr:row>
          <xdr:rowOff>47625</xdr:rowOff>
        </xdr:from>
        <xdr:to>
          <xdr:col>16</xdr:col>
          <xdr:colOff>438150</xdr:colOff>
          <xdr:row>58</xdr:row>
          <xdr:rowOff>257175</xdr:rowOff>
        </xdr:to>
        <xdr:sp macro="" textlink="">
          <xdr:nvSpPr>
            <xdr:cNvPr id="43036" name="Check Box 28" hidden="1">
              <a:extLst>
                <a:ext uri="{63B3BB69-23CF-44E3-9099-C40C66FF867C}">
                  <a14:compatExt spid="_x0000_s43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225286</xdr:colOff>
      <xdr:row>0</xdr:row>
      <xdr:rowOff>139148</xdr:rowOff>
    </xdr:from>
    <xdr:to>
      <xdr:col>2</xdr:col>
      <xdr:colOff>1162876</xdr:colOff>
      <xdr:row>1</xdr:row>
      <xdr:rowOff>122583</xdr:rowOff>
    </xdr:to>
    <xdr:sp macro="" textlink="">
      <xdr:nvSpPr>
        <xdr:cNvPr id="4" name="Прямоугольник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400-000004000000}"/>
            </a:ext>
          </a:extLst>
        </xdr:cNvPr>
        <xdr:cNvSpPr/>
      </xdr:nvSpPr>
      <xdr:spPr>
        <a:xfrm>
          <a:off x="5145156" y="139148"/>
          <a:ext cx="937590" cy="21534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516836</xdr:colOff>
      <xdr:row>0</xdr:row>
      <xdr:rowOff>56322</xdr:rowOff>
    </xdr:from>
    <xdr:to>
      <xdr:col>3</xdr:col>
      <xdr:colOff>675860</xdr:colOff>
      <xdr:row>0</xdr:row>
      <xdr:rowOff>337930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500-000002000000}"/>
            </a:ext>
          </a:extLst>
        </xdr:cNvPr>
        <xdr:cNvSpPr/>
      </xdr:nvSpPr>
      <xdr:spPr>
        <a:xfrm>
          <a:off x="3362740" y="56322"/>
          <a:ext cx="960781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>
    <xdr:from>
      <xdr:col>1</xdr:col>
      <xdr:colOff>159025</xdr:colOff>
      <xdr:row>6</xdr:row>
      <xdr:rowOff>79513</xdr:rowOff>
    </xdr:from>
    <xdr:to>
      <xdr:col>2</xdr:col>
      <xdr:colOff>639417</xdr:colOff>
      <xdr:row>9</xdr:row>
      <xdr:rowOff>135835</xdr:rowOff>
    </xdr:to>
    <xdr:sp macro="" textlink="">
      <xdr:nvSpPr>
        <xdr:cNvPr id="3" name="Прямоугольник: скругленные углы 2">
          <a:extLst>
            <a:ext uri="{FF2B5EF4-FFF2-40B4-BE49-F238E27FC236}">
              <a16:creationId xmlns="" xmlns:a16="http://schemas.microsoft.com/office/drawing/2014/main" id="{00000000-0008-0000-2500-000003000000}"/>
            </a:ext>
          </a:extLst>
        </xdr:cNvPr>
        <xdr:cNvSpPr/>
      </xdr:nvSpPr>
      <xdr:spPr>
        <a:xfrm>
          <a:off x="1000538" y="1497496"/>
          <a:ext cx="2484783" cy="602974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</a:rPr>
            <a:t> Шаблон листа.</a:t>
          </a:r>
          <a:r>
            <a:rPr lang="ru-RU" sz="1100" baseline="0">
              <a:solidFill>
                <a:sysClr val="windowText" lastClr="000000"/>
              </a:solidFill>
            </a:rPr>
            <a:t> Предлагаю не удалять: пригодится.</a:t>
          </a:r>
          <a:endParaRPr lang="ru-RU" sz="1100">
            <a:solidFill>
              <a:sysClr val="windowText" lastClr="000000"/>
            </a:solidFill>
          </a:endParaRPr>
        </a:p>
        <a:p>
          <a:pPr algn="l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215512</xdr:colOff>
      <xdr:row>21</xdr:row>
      <xdr:rowOff>64273</xdr:rowOff>
    </xdr:from>
    <xdr:to>
      <xdr:col>16</xdr:col>
      <xdr:colOff>489170</xdr:colOff>
      <xdr:row>21</xdr:row>
      <xdr:rowOff>131777</xdr:rowOff>
    </xdr:to>
    <xdr:cxnSp macro="">
      <xdr:nvCxnSpPr>
        <xdr:cNvPr id="9" name="Прямая со стрелкой 8">
          <a:extLst>
            <a:ext uri="{FF2B5EF4-FFF2-40B4-BE49-F238E27FC236}">
              <a16:creationId xmlns="" xmlns:a16="http://schemas.microsoft.com/office/drawing/2014/main" id="{00000000-0008-0000-2600-000009000000}"/>
            </a:ext>
          </a:extLst>
        </xdr:cNvPr>
        <xdr:cNvCxnSpPr>
          <a:stCxn id="71" idx="2"/>
          <a:endCxn id="75" idx="0"/>
        </xdr:cNvCxnSpPr>
      </xdr:nvCxnSpPr>
      <xdr:spPr>
        <a:xfrm flipH="1" flipV="1">
          <a:off x="5282812" y="3954283"/>
          <a:ext cx="5394298" cy="67504"/>
        </a:xfrm>
        <a:prstGeom prst="straightConnector1">
          <a:avLst/>
        </a:prstGeom>
        <a:ln w="12700" cap="rnd">
          <a:solidFill>
            <a:schemeClr val="accent4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145773</xdr:colOff>
      <xdr:row>2</xdr:row>
      <xdr:rowOff>119270</xdr:rowOff>
    </xdr:from>
    <xdr:to>
      <xdr:col>9</xdr:col>
      <xdr:colOff>612914</xdr:colOff>
      <xdr:row>6</xdr:row>
      <xdr:rowOff>43070</xdr:rowOff>
    </xdr:to>
    <xdr:sp macro="" textlink="">
      <xdr:nvSpPr>
        <xdr:cNvPr id="4" name="Прямоугольник: один усеченный угол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600-000004000000}"/>
            </a:ext>
          </a:extLst>
        </xdr:cNvPr>
        <xdr:cNvSpPr/>
      </xdr:nvSpPr>
      <xdr:spPr>
        <a:xfrm>
          <a:off x="5214730" y="533400"/>
          <a:ext cx="1106558" cy="652670"/>
        </a:xfrm>
        <a:prstGeom prst="snip1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Макро</a:t>
          </a:r>
        </a:p>
      </xdr:txBody>
    </xdr:sp>
    <xdr:clientData/>
  </xdr:twoCellAnchor>
  <xdr:twoCellAnchor>
    <xdr:from>
      <xdr:col>10</xdr:col>
      <xdr:colOff>86139</xdr:colOff>
      <xdr:row>2</xdr:row>
      <xdr:rowOff>139149</xdr:rowOff>
    </xdr:from>
    <xdr:to>
      <xdr:col>11</xdr:col>
      <xdr:colOff>553279</xdr:colOff>
      <xdr:row>6</xdr:row>
      <xdr:rowOff>62949</xdr:rowOff>
    </xdr:to>
    <xdr:sp macro="" textlink="">
      <xdr:nvSpPr>
        <xdr:cNvPr id="7" name="Прямоугольник: один усеченный угол 6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2600-000007000000}"/>
            </a:ext>
          </a:extLst>
        </xdr:cNvPr>
        <xdr:cNvSpPr/>
      </xdr:nvSpPr>
      <xdr:spPr>
        <a:xfrm>
          <a:off x="6433930" y="553279"/>
          <a:ext cx="1106558" cy="652670"/>
        </a:xfrm>
        <a:prstGeom prst="snip1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Исходные данные</a:t>
          </a:r>
        </a:p>
      </xdr:txBody>
    </xdr:sp>
    <xdr:clientData/>
  </xdr:twoCellAnchor>
  <xdr:twoCellAnchor>
    <xdr:from>
      <xdr:col>4</xdr:col>
      <xdr:colOff>553278</xdr:colOff>
      <xdr:row>11</xdr:row>
      <xdr:rowOff>76200</xdr:rowOff>
    </xdr:from>
    <xdr:to>
      <xdr:col>6</xdr:col>
      <xdr:colOff>496957</xdr:colOff>
      <xdr:row>14</xdr:row>
      <xdr:rowOff>106017</xdr:rowOff>
    </xdr:to>
    <xdr:sp macro="" textlink="">
      <xdr:nvSpPr>
        <xdr:cNvPr id="8" name="Прямоугольник: один усеченный угол 7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2600-000008000000}"/>
            </a:ext>
          </a:extLst>
        </xdr:cNvPr>
        <xdr:cNvSpPr/>
      </xdr:nvSpPr>
      <xdr:spPr>
        <a:xfrm>
          <a:off x="3064565" y="2130287"/>
          <a:ext cx="1222514" cy="576469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Инвестиции</a:t>
          </a:r>
        </a:p>
      </xdr:txBody>
    </xdr:sp>
    <xdr:clientData/>
  </xdr:twoCellAnchor>
  <xdr:twoCellAnchor>
    <xdr:from>
      <xdr:col>5</xdr:col>
      <xdr:colOff>525118</xdr:colOff>
      <xdr:row>6</xdr:row>
      <xdr:rowOff>43070</xdr:rowOff>
    </xdr:from>
    <xdr:to>
      <xdr:col>9</xdr:col>
      <xdr:colOff>59635</xdr:colOff>
      <xdr:row>11</xdr:row>
      <xdr:rowOff>76200</xdr:rowOff>
    </xdr:to>
    <xdr:cxnSp macro="">
      <xdr:nvCxnSpPr>
        <xdr:cNvPr id="10" name="Прямая со стрелкой 9">
          <a:extLst>
            <a:ext uri="{FF2B5EF4-FFF2-40B4-BE49-F238E27FC236}">
              <a16:creationId xmlns="" xmlns:a16="http://schemas.microsoft.com/office/drawing/2014/main" id="{00000000-0008-0000-2600-00000A000000}"/>
            </a:ext>
          </a:extLst>
        </xdr:cNvPr>
        <xdr:cNvCxnSpPr>
          <a:stCxn id="4" idx="1"/>
          <a:endCxn id="8" idx="3"/>
        </xdr:cNvCxnSpPr>
      </xdr:nvCxnSpPr>
      <xdr:spPr>
        <a:xfrm flipH="1">
          <a:off x="3675822" y="1186070"/>
          <a:ext cx="2092187" cy="944217"/>
        </a:xfrm>
        <a:prstGeom prst="straightConnector1">
          <a:avLst/>
        </a:prstGeom>
        <a:ln w="12700" cap="rnd">
          <a:solidFill>
            <a:schemeClr val="accent5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525118</xdr:colOff>
      <xdr:row>6</xdr:row>
      <xdr:rowOff>62949</xdr:rowOff>
    </xdr:from>
    <xdr:to>
      <xdr:col>11</xdr:col>
      <xdr:colOff>0</xdr:colOff>
      <xdr:row>11</xdr:row>
      <xdr:rowOff>76200</xdr:rowOff>
    </xdr:to>
    <xdr:cxnSp macro="">
      <xdr:nvCxnSpPr>
        <xdr:cNvPr id="13" name="Прямая со стрелкой 12">
          <a:extLst>
            <a:ext uri="{FF2B5EF4-FFF2-40B4-BE49-F238E27FC236}">
              <a16:creationId xmlns="" xmlns:a16="http://schemas.microsoft.com/office/drawing/2014/main" id="{00000000-0008-0000-2600-00000D000000}"/>
            </a:ext>
          </a:extLst>
        </xdr:cNvPr>
        <xdr:cNvCxnSpPr>
          <a:stCxn id="7" idx="1"/>
          <a:endCxn id="8" idx="3"/>
        </xdr:cNvCxnSpPr>
      </xdr:nvCxnSpPr>
      <xdr:spPr>
        <a:xfrm flipH="1">
          <a:off x="3675822" y="1205949"/>
          <a:ext cx="3311387" cy="924338"/>
        </a:xfrm>
        <a:prstGeom prst="straightConnector1">
          <a:avLst/>
        </a:prstGeom>
        <a:ln w="12700" cap="rnd">
          <a:solidFill>
            <a:schemeClr val="accent5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99391</xdr:colOff>
      <xdr:row>11</xdr:row>
      <xdr:rowOff>59635</xdr:rowOff>
    </xdr:from>
    <xdr:to>
      <xdr:col>9</xdr:col>
      <xdr:colOff>43070</xdr:colOff>
      <xdr:row>14</xdr:row>
      <xdr:rowOff>89452</xdr:rowOff>
    </xdr:to>
    <xdr:sp macro="" textlink="">
      <xdr:nvSpPr>
        <xdr:cNvPr id="18" name="Прямоугольник: один усеченный угол 17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2600-000012000000}"/>
            </a:ext>
          </a:extLst>
        </xdr:cNvPr>
        <xdr:cNvSpPr/>
      </xdr:nvSpPr>
      <xdr:spPr>
        <a:xfrm>
          <a:off x="4528930" y="2113722"/>
          <a:ext cx="1222514" cy="576469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Финансы</a:t>
          </a:r>
        </a:p>
      </xdr:txBody>
    </xdr:sp>
    <xdr:clientData/>
  </xdr:twoCellAnchor>
  <xdr:twoCellAnchor>
    <xdr:from>
      <xdr:col>9</xdr:col>
      <xdr:colOff>337930</xdr:colOff>
      <xdr:row>11</xdr:row>
      <xdr:rowOff>76200</xdr:rowOff>
    </xdr:from>
    <xdr:to>
      <xdr:col>11</xdr:col>
      <xdr:colOff>281609</xdr:colOff>
      <xdr:row>14</xdr:row>
      <xdr:rowOff>106017</xdr:rowOff>
    </xdr:to>
    <xdr:sp macro="" textlink="">
      <xdr:nvSpPr>
        <xdr:cNvPr id="19" name="Прямоугольник: один усеченный угол 18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2600-000013000000}"/>
            </a:ext>
          </a:extLst>
        </xdr:cNvPr>
        <xdr:cNvSpPr/>
      </xdr:nvSpPr>
      <xdr:spPr>
        <a:xfrm>
          <a:off x="6046304" y="2130287"/>
          <a:ext cx="1222514" cy="576469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Продажи</a:t>
          </a:r>
        </a:p>
      </xdr:txBody>
    </xdr:sp>
    <xdr:clientData/>
  </xdr:twoCellAnchor>
  <xdr:twoCellAnchor>
    <xdr:from>
      <xdr:col>16</xdr:col>
      <xdr:colOff>231912</xdr:colOff>
      <xdr:row>11</xdr:row>
      <xdr:rowOff>82826</xdr:rowOff>
    </xdr:from>
    <xdr:to>
      <xdr:col>18</xdr:col>
      <xdr:colOff>175592</xdr:colOff>
      <xdr:row>14</xdr:row>
      <xdr:rowOff>112643</xdr:rowOff>
    </xdr:to>
    <xdr:sp macro="" textlink="">
      <xdr:nvSpPr>
        <xdr:cNvPr id="22" name="Прямоугольник: один усеченный угол 21">
          <a:extLst>
            <a:ext uri="{FF2B5EF4-FFF2-40B4-BE49-F238E27FC236}">
              <a16:creationId xmlns="" xmlns:a16="http://schemas.microsoft.com/office/drawing/2014/main" id="{00000000-0008-0000-2600-000016000000}"/>
            </a:ext>
          </a:extLst>
        </xdr:cNvPr>
        <xdr:cNvSpPr/>
      </xdr:nvSpPr>
      <xdr:spPr>
        <a:xfrm>
          <a:off x="10416208" y="2136913"/>
          <a:ext cx="1222514" cy="576469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Ресурсы</a:t>
          </a:r>
        </a:p>
      </xdr:txBody>
    </xdr:sp>
    <xdr:clientData/>
  </xdr:twoCellAnchor>
  <xdr:twoCellAnchor>
    <xdr:from>
      <xdr:col>8</xdr:col>
      <xdr:colOff>71230</xdr:colOff>
      <xdr:row>6</xdr:row>
      <xdr:rowOff>43070</xdr:rowOff>
    </xdr:from>
    <xdr:to>
      <xdr:col>9</xdr:col>
      <xdr:colOff>59635</xdr:colOff>
      <xdr:row>11</xdr:row>
      <xdr:rowOff>59635</xdr:rowOff>
    </xdr:to>
    <xdr:cxnSp macro="">
      <xdr:nvCxnSpPr>
        <xdr:cNvPr id="25" name="Прямая со стрелкой 24">
          <a:extLst>
            <a:ext uri="{FF2B5EF4-FFF2-40B4-BE49-F238E27FC236}">
              <a16:creationId xmlns="" xmlns:a16="http://schemas.microsoft.com/office/drawing/2014/main" id="{00000000-0008-0000-2600-000019000000}"/>
            </a:ext>
          </a:extLst>
        </xdr:cNvPr>
        <xdr:cNvCxnSpPr>
          <a:stCxn id="4" idx="1"/>
          <a:endCxn id="18" idx="3"/>
        </xdr:cNvCxnSpPr>
      </xdr:nvCxnSpPr>
      <xdr:spPr>
        <a:xfrm flipH="1">
          <a:off x="5140187" y="1186070"/>
          <a:ext cx="627822" cy="927652"/>
        </a:xfrm>
        <a:prstGeom prst="straightConnector1">
          <a:avLst/>
        </a:prstGeom>
        <a:ln w="12700" cap="rnd">
          <a:solidFill>
            <a:schemeClr val="accent5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59635</xdr:colOff>
      <xdr:row>6</xdr:row>
      <xdr:rowOff>43070</xdr:rowOff>
    </xdr:from>
    <xdr:to>
      <xdr:col>10</xdr:col>
      <xdr:colOff>309770</xdr:colOff>
      <xdr:row>11</xdr:row>
      <xdr:rowOff>76200</xdr:rowOff>
    </xdr:to>
    <xdr:cxnSp macro="">
      <xdr:nvCxnSpPr>
        <xdr:cNvPr id="26" name="Прямая со стрелкой 25">
          <a:extLst>
            <a:ext uri="{FF2B5EF4-FFF2-40B4-BE49-F238E27FC236}">
              <a16:creationId xmlns="" xmlns:a16="http://schemas.microsoft.com/office/drawing/2014/main" id="{00000000-0008-0000-2600-00001A000000}"/>
            </a:ext>
          </a:extLst>
        </xdr:cNvPr>
        <xdr:cNvCxnSpPr>
          <a:stCxn id="4" idx="1"/>
          <a:endCxn id="19" idx="3"/>
        </xdr:cNvCxnSpPr>
      </xdr:nvCxnSpPr>
      <xdr:spPr>
        <a:xfrm>
          <a:off x="5768009" y="1186070"/>
          <a:ext cx="889552" cy="944217"/>
        </a:xfrm>
        <a:prstGeom prst="straightConnector1">
          <a:avLst/>
        </a:prstGeom>
        <a:ln w="12700" cap="rnd">
          <a:solidFill>
            <a:schemeClr val="accent5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59304</xdr:colOff>
      <xdr:row>6</xdr:row>
      <xdr:rowOff>43070</xdr:rowOff>
    </xdr:from>
    <xdr:to>
      <xdr:col>12</xdr:col>
      <xdr:colOff>452893</xdr:colOff>
      <xdr:row>11</xdr:row>
      <xdr:rowOff>112975</xdr:rowOff>
    </xdr:to>
    <xdr:cxnSp macro="">
      <xdr:nvCxnSpPr>
        <xdr:cNvPr id="27" name="Прямая со стрелкой 26">
          <a:extLst>
            <a:ext uri="{FF2B5EF4-FFF2-40B4-BE49-F238E27FC236}">
              <a16:creationId xmlns="" xmlns:a16="http://schemas.microsoft.com/office/drawing/2014/main" id="{00000000-0008-0000-2600-00001B000000}"/>
            </a:ext>
          </a:extLst>
        </xdr:cNvPr>
        <xdr:cNvCxnSpPr>
          <a:stCxn id="4" idx="1"/>
          <a:endCxn id="20" idx="3"/>
        </xdr:cNvCxnSpPr>
      </xdr:nvCxnSpPr>
      <xdr:spPr>
        <a:xfrm>
          <a:off x="5766684" y="1189880"/>
          <a:ext cx="2313829" cy="984305"/>
        </a:xfrm>
        <a:prstGeom prst="straightConnector1">
          <a:avLst/>
        </a:prstGeom>
        <a:ln w="12700" cap="rnd">
          <a:solidFill>
            <a:schemeClr val="accent5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59304</xdr:colOff>
      <xdr:row>6</xdr:row>
      <xdr:rowOff>43070</xdr:rowOff>
    </xdr:from>
    <xdr:to>
      <xdr:col>15</xdr:col>
      <xdr:colOff>66592</xdr:colOff>
      <xdr:row>11</xdr:row>
      <xdr:rowOff>115294</xdr:rowOff>
    </xdr:to>
    <xdr:cxnSp macro="">
      <xdr:nvCxnSpPr>
        <xdr:cNvPr id="28" name="Прямая со стрелкой 27">
          <a:extLst>
            <a:ext uri="{FF2B5EF4-FFF2-40B4-BE49-F238E27FC236}">
              <a16:creationId xmlns="" xmlns:a16="http://schemas.microsoft.com/office/drawing/2014/main" id="{00000000-0008-0000-2600-00001C000000}"/>
            </a:ext>
          </a:extLst>
        </xdr:cNvPr>
        <xdr:cNvCxnSpPr>
          <a:stCxn id="4" idx="1"/>
          <a:endCxn id="21" idx="3"/>
        </xdr:cNvCxnSpPr>
      </xdr:nvCxnSpPr>
      <xdr:spPr>
        <a:xfrm>
          <a:off x="5766684" y="1189880"/>
          <a:ext cx="3847768" cy="986624"/>
        </a:xfrm>
        <a:prstGeom prst="straightConnector1">
          <a:avLst/>
        </a:prstGeom>
        <a:ln w="12700" cap="rnd">
          <a:solidFill>
            <a:schemeClr val="accent5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59635</xdr:colOff>
      <xdr:row>6</xdr:row>
      <xdr:rowOff>43070</xdr:rowOff>
    </xdr:from>
    <xdr:to>
      <xdr:col>17</xdr:col>
      <xdr:colOff>203752</xdr:colOff>
      <xdr:row>11</xdr:row>
      <xdr:rowOff>82826</xdr:rowOff>
    </xdr:to>
    <xdr:cxnSp macro="">
      <xdr:nvCxnSpPr>
        <xdr:cNvPr id="29" name="Прямая со стрелкой 28">
          <a:extLst>
            <a:ext uri="{FF2B5EF4-FFF2-40B4-BE49-F238E27FC236}">
              <a16:creationId xmlns="" xmlns:a16="http://schemas.microsoft.com/office/drawing/2014/main" id="{00000000-0008-0000-2600-00001D000000}"/>
            </a:ext>
          </a:extLst>
        </xdr:cNvPr>
        <xdr:cNvCxnSpPr>
          <a:stCxn id="4" idx="1"/>
          <a:endCxn id="22" idx="3"/>
        </xdr:cNvCxnSpPr>
      </xdr:nvCxnSpPr>
      <xdr:spPr>
        <a:xfrm>
          <a:off x="5768009" y="1186070"/>
          <a:ext cx="5259456" cy="950843"/>
        </a:xfrm>
        <a:prstGeom prst="straightConnector1">
          <a:avLst/>
        </a:prstGeom>
        <a:ln w="12700" cap="rnd">
          <a:solidFill>
            <a:schemeClr val="accent5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71230</xdr:colOff>
      <xdr:row>6</xdr:row>
      <xdr:rowOff>62949</xdr:rowOff>
    </xdr:from>
    <xdr:to>
      <xdr:col>11</xdr:col>
      <xdr:colOff>0</xdr:colOff>
      <xdr:row>11</xdr:row>
      <xdr:rowOff>59635</xdr:rowOff>
    </xdr:to>
    <xdr:cxnSp macro="">
      <xdr:nvCxnSpPr>
        <xdr:cNvPr id="30" name="Прямая со стрелкой 29">
          <a:extLst>
            <a:ext uri="{FF2B5EF4-FFF2-40B4-BE49-F238E27FC236}">
              <a16:creationId xmlns="" xmlns:a16="http://schemas.microsoft.com/office/drawing/2014/main" id="{00000000-0008-0000-2600-00001E000000}"/>
            </a:ext>
          </a:extLst>
        </xdr:cNvPr>
        <xdr:cNvCxnSpPr>
          <a:stCxn id="7" idx="1"/>
          <a:endCxn id="18" idx="3"/>
        </xdr:cNvCxnSpPr>
      </xdr:nvCxnSpPr>
      <xdr:spPr>
        <a:xfrm flipH="1">
          <a:off x="5140187" y="1205949"/>
          <a:ext cx="1847022" cy="907773"/>
        </a:xfrm>
        <a:prstGeom prst="straightConnector1">
          <a:avLst/>
        </a:prstGeom>
        <a:ln w="12700" cap="rnd">
          <a:solidFill>
            <a:schemeClr val="accent5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309770</xdr:colOff>
      <xdr:row>6</xdr:row>
      <xdr:rowOff>62949</xdr:rowOff>
    </xdr:from>
    <xdr:to>
      <xdr:col>10</xdr:col>
      <xdr:colOff>639749</xdr:colOff>
      <xdr:row>11</xdr:row>
      <xdr:rowOff>76200</xdr:rowOff>
    </xdr:to>
    <xdr:cxnSp macro="">
      <xdr:nvCxnSpPr>
        <xdr:cNvPr id="31" name="Прямая со стрелкой 30">
          <a:extLst>
            <a:ext uri="{FF2B5EF4-FFF2-40B4-BE49-F238E27FC236}">
              <a16:creationId xmlns="" xmlns:a16="http://schemas.microsoft.com/office/drawing/2014/main" id="{00000000-0008-0000-2600-00001F000000}"/>
            </a:ext>
          </a:extLst>
        </xdr:cNvPr>
        <xdr:cNvCxnSpPr>
          <a:stCxn id="7" idx="1"/>
          <a:endCxn id="19" idx="3"/>
        </xdr:cNvCxnSpPr>
      </xdr:nvCxnSpPr>
      <xdr:spPr>
        <a:xfrm flipH="1">
          <a:off x="6657230" y="1209759"/>
          <a:ext cx="329979" cy="927651"/>
        </a:xfrm>
        <a:prstGeom prst="straightConnector1">
          <a:avLst/>
        </a:prstGeom>
        <a:ln w="12700" cap="rnd">
          <a:solidFill>
            <a:schemeClr val="accent5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639749</xdr:colOff>
      <xdr:row>6</xdr:row>
      <xdr:rowOff>62949</xdr:rowOff>
    </xdr:from>
    <xdr:to>
      <xdr:col>12</xdr:col>
      <xdr:colOff>452893</xdr:colOff>
      <xdr:row>11</xdr:row>
      <xdr:rowOff>112975</xdr:rowOff>
    </xdr:to>
    <xdr:cxnSp macro="">
      <xdr:nvCxnSpPr>
        <xdr:cNvPr id="46" name="Прямая со стрелкой 45">
          <a:extLst>
            <a:ext uri="{FF2B5EF4-FFF2-40B4-BE49-F238E27FC236}">
              <a16:creationId xmlns="" xmlns:a16="http://schemas.microsoft.com/office/drawing/2014/main" id="{00000000-0008-0000-2600-00002E000000}"/>
            </a:ext>
          </a:extLst>
        </xdr:cNvPr>
        <xdr:cNvCxnSpPr>
          <a:stCxn id="7" idx="1"/>
          <a:endCxn id="20" idx="3"/>
        </xdr:cNvCxnSpPr>
      </xdr:nvCxnSpPr>
      <xdr:spPr>
        <a:xfrm>
          <a:off x="6987209" y="1209759"/>
          <a:ext cx="1093304" cy="964426"/>
        </a:xfrm>
        <a:prstGeom prst="straightConnector1">
          <a:avLst/>
        </a:prstGeom>
        <a:ln w="12700" cap="rnd">
          <a:solidFill>
            <a:schemeClr val="accent5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</xdr:row>
      <xdr:rowOff>62949</xdr:rowOff>
    </xdr:from>
    <xdr:to>
      <xdr:col>17</xdr:col>
      <xdr:colOff>203752</xdr:colOff>
      <xdr:row>11</xdr:row>
      <xdr:rowOff>82826</xdr:rowOff>
    </xdr:to>
    <xdr:cxnSp macro="">
      <xdr:nvCxnSpPr>
        <xdr:cNvPr id="47" name="Прямая со стрелкой 46">
          <a:extLst>
            <a:ext uri="{FF2B5EF4-FFF2-40B4-BE49-F238E27FC236}">
              <a16:creationId xmlns="" xmlns:a16="http://schemas.microsoft.com/office/drawing/2014/main" id="{00000000-0008-0000-2600-00002F000000}"/>
            </a:ext>
          </a:extLst>
        </xdr:cNvPr>
        <xdr:cNvCxnSpPr>
          <a:stCxn id="7" idx="1"/>
          <a:endCxn id="22" idx="3"/>
        </xdr:cNvCxnSpPr>
      </xdr:nvCxnSpPr>
      <xdr:spPr>
        <a:xfrm>
          <a:off x="6987209" y="1205949"/>
          <a:ext cx="4040256" cy="930964"/>
        </a:xfrm>
        <a:prstGeom prst="straightConnector1">
          <a:avLst/>
        </a:prstGeom>
        <a:ln w="12700" cap="rnd">
          <a:solidFill>
            <a:schemeClr val="accent5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72886</xdr:colOff>
      <xdr:row>17</xdr:row>
      <xdr:rowOff>168966</xdr:rowOff>
    </xdr:from>
    <xdr:to>
      <xdr:col>3</xdr:col>
      <xdr:colOff>493643</xdr:colOff>
      <xdr:row>21</xdr:row>
      <xdr:rowOff>16565</xdr:rowOff>
    </xdr:to>
    <xdr:sp macro="" textlink="">
      <xdr:nvSpPr>
        <xdr:cNvPr id="66" name="Прямоугольник: один усеченный угол 65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2600-000042000000}"/>
            </a:ext>
          </a:extLst>
        </xdr:cNvPr>
        <xdr:cNvSpPr/>
      </xdr:nvSpPr>
      <xdr:spPr>
        <a:xfrm>
          <a:off x="1142999" y="3316357"/>
          <a:ext cx="1222514" cy="576469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Общепроизвод. расходы</a:t>
          </a:r>
        </a:p>
      </xdr:txBody>
    </xdr:sp>
    <xdr:clientData/>
  </xdr:twoCellAnchor>
  <xdr:twoCellAnchor>
    <xdr:from>
      <xdr:col>2</xdr:col>
      <xdr:colOff>59634</xdr:colOff>
      <xdr:row>22</xdr:row>
      <xdr:rowOff>19879</xdr:rowOff>
    </xdr:from>
    <xdr:to>
      <xdr:col>3</xdr:col>
      <xdr:colOff>480391</xdr:colOff>
      <xdr:row>25</xdr:row>
      <xdr:rowOff>49696</xdr:rowOff>
    </xdr:to>
    <xdr:sp macro="" textlink="">
      <xdr:nvSpPr>
        <xdr:cNvPr id="67" name="Прямоугольник: один усеченный угол 66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2600-000043000000}"/>
            </a:ext>
          </a:extLst>
        </xdr:cNvPr>
        <xdr:cNvSpPr/>
      </xdr:nvSpPr>
      <xdr:spPr>
        <a:xfrm>
          <a:off x="1129747" y="4078357"/>
          <a:ext cx="1222514" cy="576469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Адм.-хоз. расходы</a:t>
          </a:r>
        </a:p>
      </xdr:txBody>
    </xdr:sp>
    <xdr:clientData/>
  </xdr:twoCellAnchor>
  <xdr:twoCellAnchor>
    <xdr:from>
      <xdr:col>2</xdr:col>
      <xdr:colOff>92764</xdr:colOff>
      <xdr:row>26</xdr:row>
      <xdr:rowOff>162340</xdr:rowOff>
    </xdr:from>
    <xdr:to>
      <xdr:col>3</xdr:col>
      <xdr:colOff>513521</xdr:colOff>
      <xdr:row>30</xdr:row>
      <xdr:rowOff>9940</xdr:rowOff>
    </xdr:to>
    <xdr:sp macro="" textlink="">
      <xdr:nvSpPr>
        <xdr:cNvPr id="68" name="Прямоугольник: один усеченный угол 67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2600-000044000000}"/>
            </a:ext>
          </a:extLst>
        </xdr:cNvPr>
        <xdr:cNvSpPr/>
      </xdr:nvSpPr>
      <xdr:spPr>
        <a:xfrm>
          <a:off x="1162877" y="4949688"/>
          <a:ext cx="1222514" cy="576469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Прочие доходы</a:t>
          </a:r>
        </a:p>
      </xdr:txBody>
    </xdr:sp>
    <xdr:clientData/>
  </xdr:twoCellAnchor>
  <xdr:twoCellAnchor>
    <xdr:from>
      <xdr:col>2</xdr:col>
      <xdr:colOff>92765</xdr:colOff>
      <xdr:row>32</xdr:row>
      <xdr:rowOff>13253</xdr:rowOff>
    </xdr:from>
    <xdr:to>
      <xdr:col>3</xdr:col>
      <xdr:colOff>513522</xdr:colOff>
      <xdr:row>35</xdr:row>
      <xdr:rowOff>43070</xdr:rowOff>
    </xdr:to>
    <xdr:sp macro="" textlink="">
      <xdr:nvSpPr>
        <xdr:cNvPr id="69" name="Прямоугольник: один усеченный угол 68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2600-000045000000}"/>
            </a:ext>
          </a:extLst>
        </xdr:cNvPr>
        <xdr:cNvSpPr/>
      </xdr:nvSpPr>
      <xdr:spPr>
        <a:xfrm>
          <a:off x="1162878" y="5893905"/>
          <a:ext cx="1222514" cy="576469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Прочие Расходы</a:t>
          </a:r>
        </a:p>
      </xdr:txBody>
    </xdr:sp>
    <xdr:clientData/>
  </xdr:twoCellAnchor>
  <xdr:twoCellAnchor>
    <xdr:from>
      <xdr:col>17</xdr:col>
      <xdr:colOff>160350</xdr:colOff>
      <xdr:row>17</xdr:row>
      <xdr:rowOff>84153</xdr:rowOff>
    </xdr:from>
    <xdr:to>
      <xdr:col>19</xdr:col>
      <xdr:colOff>114300</xdr:colOff>
      <xdr:row>19</xdr:row>
      <xdr:rowOff>106680</xdr:rowOff>
    </xdr:to>
    <xdr:sp macro="" textlink="">
      <xdr:nvSpPr>
        <xdr:cNvPr id="70" name="Прямоугольник: один усеченный угол 69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00000000-0008-0000-2600-000046000000}"/>
            </a:ext>
          </a:extLst>
        </xdr:cNvPr>
        <xdr:cNvSpPr/>
      </xdr:nvSpPr>
      <xdr:spPr>
        <a:xfrm>
          <a:off x="10988370" y="3242643"/>
          <a:ext cx="1234110" cy="388287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Рсчет НДС</a:t>
          </a:r>
        </a:p>
      </xdr:txBody>
    </xdr:sp>
    <xdr:clientData/>
  </xdr:twoCellAnchor>
  <xdr:twoCellAnchor>
    <xdr:from>
      <xdr:col>16</xdr:col>
      <xdr:colOff>489170</xdr:colOff>
      <xdr:row>20</xdr:row>
      <xdr:rowOff>73054</xdr:rowOff>
    </xdr:from>
    <xdr:to>
      <xdr:col>18</xdr:col>
      <xdr:colOff>443120</xdr:colOff>
      <xdr:row>23</xdr:row>
      <xdr:rowOff>7620</xdr:rowOff>
    </xdr:to>
    <xdr:sp macro="" textlink="">
      <xdr:nvSpPr>
        <xdr:cNvPr id="71" name="Прямоугольник: один усеченный угол 70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00000000-0008-0000-2600-000047000000}"/>
            </a:ext>
          </a:extLst>
        </xdr:cNvPr>
        <xdr:cNvSpPr/>
      </xdr:nvSpPr>
      <xdr:spPr>
        <a:xfrm>
          <a:off x="10677110" y="3780184"/>
          <a:ext cx="1234110" cy="483206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Рсчет Налога на прибыль</a:t>
          </a:r>
        </a:p>
      </xdr:txBody>
    </xdr:sp>
    <xdr:clientData/>
  </xdr:twoCellAnchor>
  <xdr:twoCellAnchor>
    <xdr:from>
      <xdr:col>16</xdr:col>
      <xdr:colOff>199610</xdr:colOff>
      <xdr:row>23</xdr:row>
      <xdr:rowOff>105026</xdr:rowOff>
    </xdr:from>
    <xdr:to>
      <xdr:col>18</xdr:col>
      <xdr:colOff>153560</xdr:colOff>
      <xdr:row>26</xdr:row>
      <xdr:rowOff>80010</xdr:rowOff>
    </xdr:to>
    <xdr:sp macro="" textlink="">
      <xdr:nvSpPr>
        <xdr:cNvPr id="72" name="Прямоугольник: один усеченный угол 71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00000000-0008-0000-2600-000048000000}"/>
            </a:ext>
          </a:extLst>
        </xdr:cNvPr>
        <xdr:cNvSpPr/>
      </xdr:nvSpPr>
      <xdr:spPr>
        <a:xfrm>
          <a:off x="10387550" y="4360796"/>
          <a:ext cx="1234110" cy="523624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Рсчет налога на имущество</a:t>
          </a:r>
        </a:p>
      </xdr:txBody>
    </xdr:sp>
    <xdr:clientData/>
  </xdr:twoCellAnchor>
  <xdr:twoCellAnchor>
    <xdr:from>
      <xdr:col>3</xdr:col>
      <xdr:colOff>513521</xdr:colOff>
      <xdr:row>21</xdr:row>
      <xdr:rowOff>64273</xdr:rowOff>
    </xdr:from>
    <xdr:to>
      <xdr:col>5</xdr:col>
      <xdr:colOff>550130</xdr:colOff>
      <xdr:row>28</xdr:row>
      <xdr:rowOff>86140</xdr:rowOff>
    </xdr:to>
    <xdr:cxnSp macro="">
      <xdr:nvCxnSpPr>
        <xdr:cNvPr id="84" name="Прямая со стрелкой 83">
          <a:extLst>
            <a:ext uri="{FF2B5EF4-FFF2-40B4-BE49-F238E27FC236}">
              <a16:creationId xmlns="" xmlns:a16="http://schemas.microsoft.com/office/drawing/2014/main" id="{00000000-0008-0000-2600-000054000000}"/>
            </a:ext>
          </a:extLst>
        </xdr:cNvPr>
        <xdr:cNvCxnSpPr>
          <a:stCxn id="68" idx="0"/>
          <a:endCxn id="75" idx="2"/>
        </xdr:cNvCxnSpPr>
      </xdr:nvCxnSpPr>
      <xdr:spPr>
        <a:xfrm flipV="1">
          <a:off x="2380421" y="3954283"/>
          <a:ext cx="1316769" cy="1302027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513522</xdr:colOff>
      <xdr:row>21</xdr:row>
      <xdr:rowOff>64273</xdr:rowOff>
    </xdr:from>
    <xdr:to>
      <xdr:col>5</xdr:col>
      <xdr:colOff>550130</xdr:colOff>
      <xdr:row>33</xdr:row>
      <xdr:rowOff>119602</xdr:rowOff>
    </xdr:to>
    <xdr:cxnSp macro="">
      <xdr:nvCxnSpPr>
        <xdr:cNvPr id="85" name="Прямая со стрелкой 84">
          <a:extLst>
            <a:ext uri="{FF2B5EF4-FFF2-40B4-BE49-F238E27FC236}">
              <a16:creationId xmlns="" xmlns:a16="http://schemas.microsoft.com/office/drawing/2014/main" id="{00000000-0008-0000-2600-000055000000}"/>
            </a:ext>
          </a:extLst>
        </xdr:cNvPr>
        <xdr:cNvCxnSpPr>
          <a:stCxn id="69" idx="0"/>
          <a:endCxn id="75" idx="2"/>
        </xdr:cNvCxnSpPr>
      </xdr:nvCxnSpPr>
      <xdr:spPr>
        <a:xfrm flipV="1">
          <a:off x="2380422" y="3954283"/>
          <a:ext cx="1316768" cy="2249889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525118</xdr:colOff>
      <xdr:row>14</xdr:row>
      <xdr:rowOff>106017</xdr:rowOff>
    </xdr:from>
    <xdr:to>
      <xdr:col>7</xdr:col>
      <xdr:colOff>62781</xdr:colOff>
      <xdr:row>19</xdr:row>
      <xdr:rowOff>70899</xdr:rowOff>
    </xdr:to>
    <xdr:cxnSp macro="">
      <xdr:nvCxnSpPr>
        <xdr:cNvPr id="97" name="Прямая со стрелкой 96">
          <a:extLst>
            <a:ext uri="{FF2B5EF4-FFF2-40B4-BE49-F238E27FC236}">
              <a16:creationId xmlns="" xmlns:a16="http://schemas.microsoft.com/office/drawing/2014/main" id="{00000000-0008-0000-2600-000061000000}"/>
            </a:ext>
          </a:extLst>
        </xdr:cNvPr>
        <xdr:cNvCxnSpPr>
          <a:stCxn id="8" idx="1"/>
          <a:endCxn id="75" idx="3"/>
        </xdr:cNvCxnSpPr>
      </xdr:nvCxnSpPr>
      <xdr:spPr>
        <a:xfrm>
          <a:off x="3672178" y="2715867"/>
          <a:ext cx="817823" cy="879282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62781</xdr:colOff>
      <xdr:row>14</xdr:row>
      <xdr:rowOff>89452</xdr:rowOff>
    </xdr:from>
    <xdr:to>
      <xdr:col>8</xdr:col>
      <xdr:colOff>71231</xdr:colOff>
      <xdr:row>19</xdr:row>
      <xdr:rowOff>70899</xdr:rowOff>
    </xdr:to>
    <xdr:cxnSp macro="">
      <xdr:nvCxnSpPr>
        <xdr:cNvPr id="100" name="Прямая со стрелкой 99">
          <a:extLst>
            <a:ext uri="{FF2B5EF4-FFF2-40B4-BE49-F238E27FC236}">
              <a16:creationId xmlns="" xmlns:a16="http://schemas.microsoft.com/office/drawing/2014/main" id="{00000000-0008-0000-2600-000064000000}"/>
            </a:ext>
          </a:extLst>
        </xdr:cNvPr>
        <xdr:cNvCxnSpPr>
          <a:stCxn id="18" idx="1"/>
          <a:endCxn id="75" idx="3"/>
        </xdr:cNvCxnSpPr>
      </xdr:nvCxnSpPr>
      <xdr:spPr>
        <a:xfrm flipH="1">
          <a:off x="4490001" y="2699302"/>
          <a:ext cx="648530" cy="895847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62781</xdr:colOff>
      <xdr:row>14</xdr:row>
      <xdr:rowOff>106017</xdr:rowOff>
    </xdr:from>
    <xdr:to>
      <xdr:col>10</xdr:col>
      <xdr:colOff>309770</xdr:colOff>
      <xdr:row>19</xdr:row>
      <xdr:rowOff>70899</xdr:rowOff>
    </xdr:to>
    <xdr:cxnSp macro="">
      <xdr:nvCxnSpPr>
        <xdr:cNvPr id="101" name="Прямая со стрелкой 100">
          <a:extLst>
            <a:ext uri="{FF2B5EF4-FFF2-40B4-BE49-F238E27FC236}">
              <a16:creationId xmlns="" xmlns:a16="http://schemas.microsoft.com/office/drawing/2014/main" id="{00000000-0008-0000-2600-000065000000}"/>
            </a:ext>
          </a:extLst>
        </xdr:cNvPr>
        <xdr:cNvCxnSpPr>
          <a:stCxn id="19" idx="1"/>
          <a:endCxn id="75" idx="3"/>
        </xdr:cNvCxnSpPr>
      </xdr:nvCxnSpPr>
      <xdr:spPr>
        <a:xfrm flipH="1">
          <a:off x="4490001" y="2715867"/>
          <a:ext cx="2167229" cy="879282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309770</xdr:colOff>
      <xdr:row>14</xdr:row>
      <xdr:rowOff>106017</xdr:rowOff>
    </xdr:from>
    <xdr:to>
      <xdr:col>10</xdr:col>
      <xdr:colOff>470285</xdr:colOff>
      <xdr:row>24</xdr:row>
      <xdr:rowOff>30812</xdr:rowOff>
    </xdr:to>
    <xdr:cxnSp macro="">
      <xdr:nvCxnSpPr>
        <xdr:cNvPr id="102" name="Прямая со стрелкой 101">
          <a:extLst>
            <a:ext uri="{FF2B5EF4-FFF2-40B4-BE49-F238E27FC236}">
              <a16:creationId xmlns="" xmlns:a16="http://schemas.microsoft.com/office/drawing/2014/main" id="{00000000-0008-0000-2600-000066000000}"/>
            </a:ext>
          </a:extLst>
        </xdr:cNvPr>
        <xdr:cNvCxnSpPr>
          <a:stCxn id="19" idx="1"/>
          <a:endCxn id="77" idx="3"/>
        </xdr:cNvCxnSpPr>
      </xdr:nvCxnSpPr>
      <xdr:spPr>
        <a:xfrm>
          <a:off x="6657230" y="2715867"/>
          <a:ext cx="160515" cy="1753595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458855</xdr:colOff>
      <xdr:row>14</xdr:row>
      <xdr:rowOff>85642</xdr:rowOff>
    </xdr:from>
    <xdr:to>
      <xdr:col>12</xdr:col>
      <xdr:colOff>487183</xdr:colOff>
      <xdr:row>24</xdr:row>
      <xdr:rowOff>27002</xdr:rowOff>
    </xdr:to>
    <xdr:cxnSp macro="">
      <xdr:nvCxnSpPr>
        <xdr:cNvPr id="103" name="Прямая со стрелкой 102">
          <a:extLst>
            <a:ext uri="{FF2B5EF4-FFF2-40B4-BE49-F238E27FC236}">
              <a16:creationId xmlns="" xmlns:a16="http://schemas.microsoft.com/office/drawing/2014/main" id="{00000000-0008-0000-2600-000067000000}"/>
            </a:ext>
          </a:extLst>
        </xdr:cNvPr>
        <xdr:cNvCxnSpPr/>
      </xdr:nvCxnSpPr>
      <xdr:spPr>
        <a:xfrm flipH="1">
          <a:off x="6806315" y="2695492"/>
          <a:ext cx="1308488" cy="1770160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62781</xdr:colOff>
      <xdr:row>14</xdr:row>
      <xdr:rowOff>142792</xdr:rowOff>
    </xdr:from>
    <xdr:to>
      <xdr:col>12</xdr:col>
      <xdr:colOff>452893</xdr:colOff>
      <xdr:row>19</xdr:row>
      <xdr:rowOff>70899</xdr:rowOff>
    </xdr:to>
    <xdr:cxnSp macro="">
      <xdr:nvCxnSpPr>
        <xdr:cNvPr id="112" name="Прямая со стрелкой 111">
          <a:extLst>
            <a:ext uri="{FF2B5EF4-FFF2-40B4-BE49-F238E27FC236}">
              <a16:creationId xmlns="" xmlns:a16="http://schemas.microsoft.com/office/drawing/2014/main" id="{00000000-0008-0000-2600-000070000000}"/>
            </a:ext>
          </a:extLst>
        </xdr:cNvPr>
        <xdr:cNvCxnSpPr>
          <a:stCxn id="20" idx="1"/>
          <a:endCxn id="75" idx="3"/>
        </xdr:cNvCxnSpPr>
      </xdr:nvCxnSpPr>
      <xdr:spPr>
        <a:xfrm flipH="1">
          <a:off x="4490001" y="2752642"/>
          <a:ext cx="3590512" cy="842507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470285</xdr:colOff>
      <xdr:row>14</xdr:row>
      <xdr:rowOff>145111</xdr:rowOff>
    </xdr:from>
    <xdr:to>
      <xdr:col>15</xdr:col>
      <xdr:colOff>66592</xdr:colOff>
      <xdr:row>24</xdr:row>
      <xdr:rowOff>30812</xdr:rowOff>
    </xdr:to>
    <xdr:cxnSp macro="">
      <xdr:nvCxnSpPr>
        <xdr:cNvPr id="115" name="Прямая со стрелкой 114">
          <a:extLst>
            <a:ext uri="{FF2B5EF4-FFF2-40B4-BE49-F238E27FC236}">
              <a16:creationId xmlns="" xmlns:a16="http://schemas.microsoft.com/office/drawing/2014/main" id="{00000000-0008-0000-2600-000073000000}"/>
            </a:ext>
          </a:extLst>
        </xdr:cNvPr>
        <xdr:cNvCxnSpPr>
          <a:stCxn id="21" idx="1"/>
          <a:endCxn id="77" idx="3"/>
        </xdr:cNvCxnSpPr>
      </xdr:nvCxnSpPr>
      <xdr:spPr>
        <a:xfrm flipH="1">
          <a:off x="6817745" y="2754961"/>
          <a:ext cx="2796707" cy="1714501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470285</xdr:colOff>
      <xdr:row>14</xdr:row>
      <xdr:rowOff>112643</xdr:rowOff>
    </xdr:from>
    <xdr:to>
      <xdr:col>17</xdr:col>
      <xdr:colOff>203752</xdr:colOff>
      <xdr:row>24</xdr:row>
      <xdr:rowOff>30812</xdr:rowOff>
    </xdr:to>
    <xdr:cxnSp macro="">
      <xdr:nvCxnSpPr>
        <xdr:cNvPr id="118" name="Прямая со стрелкой 117">
          <a:extLst>
            <a:ext uri="{FF2B5EF4-FFF2-40B4-BE49-F238E27FC236}">
              <a16:creationId xmlns="" xmlns:a16="http://schemas.microsoft.com/office/drawing/2014/main" id="{00000000-0008-0000-2600-000076000000}"/>
            </a:ext>
          </a:extLst>
        </xdr:cNvPr>
        <xdr:cNvCxnSpPr>
          <a:stCxn id="22" idx="1"/>
          <a:endCxn id="77" idx="3"/>
        </xdr:cNvCxnSpPr>
      </xdr:nvCxnSpPr>
      <xdr:spPr>
        <a:xfrm flipH="1">
          <a:off x="6817745" y="2722493"/>
          <a:ext cx="4214027" cy="1746969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71231</xdr:colOff>
      <xdr:row>14</xdr:row>
      <xdr:rowOff>89452</xdr:rowOff>
    </xdr:from>
    <xdr:to>
      <xdr:col>10</xdr:col>
      <xdr:colOff>470285</xdr:colOff>
      <xdr:row>24</xdr:row>
      <xdr:rowOff>30812</xdr:rowOff>
    </xdr:to>
    <xdr:cxnSp macro="">
      <xdr:nvCxnSpPr>
        <xdr:cNvPr id="121" name="Прямая со стрелкой 120">
          <a:extLst>
            <a:ext uri="{FF2B5EF4-FFF2-40B4-BE49-F238E27FC236}">
              <a16:creationId xmlns="" xmlns:a16="http://schemas.microsoft.com/office/drawing/2014/main" id="{00000000-0008-0000-2600-000079000000}"/>
            </a:ext>
          </a:extLst>
        </xdr:cNvPr>
        <xdr:cNvCxnSpPr>
          <a:stCxn id="18" idx="1"/>
          <a:endCxn id="77" idx="3"/>
        </xdr:cNvCxnSpPr>
      </xdr:nvCxnSpPr>
      <xdr:spPr>
        <a:xfrm>
          <a:off x="5138531" y="2699302"/>
          <a:ext cx="1679214" cy="1770160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62781</xdr:colOff>
      <xdr:row>14</xdr:row>
      <xdr:rowOff>112643</xdr:rowOff>
    </xdr:from>
    <xdr:to>
      <xdr:col>17</xdr:col>
      <xdr:colOff>203752</xdr:colOff>
      <xdr:row>19</xdr:row>
      <xdr:rowOff>70899</xdr:rowOff>
    </xdr:to>
    <xdr:cxnSp macro="">
      <xdr:nvCxnSpPr>
        <xdr:cNvPr id="129" name="Прямая со стрелкой 128">
          <a:extLst>
            <a:ext uri="{FF2B5EF4-FFF2-40B4-BE49-F238E27FC236}">
              <a16:creationId xmlns="" xmlns:a16="http://schemas.microsoft.com/office/drawing/2014/main" id="{00000000-0008-0000-2600-000081000000}"/>
            </a:ext>
          </a:extLst>
        </xdr:cNvPr>
        <xdr:cNvCxnSpPr>
          <a:stCxn id="22" idx="1"/>
          <a:endCxn id="75" idx="3"/>
        </xdr:cNvCxnSpPr>
      </xdr:nvCxnSpPr>
      <xdr:spPr>
        <a:xfrm flipH="1">
          <a:off x="4490001" y="2722493"/>
          <a:ext cx="6541771" cy="872656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623016</xdr:colOff>
      <xdr:row>22</xdr:row>
      <xdr:rowOff>129208</xdr:rowOff>
    </xdr:from>
    <xdr:to>
      <xdr:col>13</xdr:col>
      <xdr:colOff>334616</xdr:colOff>
      <xdr:row>26</xdr:row>
      <xdr:rowOff>24186</xdr:rowOff>
    </xdr:to>
    <xdr:cxnSp macro="">
      <xdr:nvCxnSpPr>
        <xdr:cNvPr id="142" name="Прямая со стрелкой 141">
          <a:extLst>
            <a:ext uri="{FF2B5EF4-FFF2-40B4-BE49-F238E27FC236}">
              <a16:creationId xmlns="" xmlns:a16="http://schemas.microsoft.com/office/drawing/2014/main" id="{00000000-0008-0000-2600-00008E000000}"/>
            </a:ext>
          </a:extLst>
        </xdr:cNvPr>
        <xdr:cNvCxnSpPr>
          <a:stCxn id="77" idx="0"/>
          <a:endCxn id="78" idx="2"/>
        </xdr:cNvCxnSpPr>
      </xdr:nvCxnSpPr>
      <xdr:spPr>
        <a:xfrm flipV="1">
          <a:off x="7610556" y="4202098"/>
          <a:ext cx="991760" cy="626498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215512</xdr:colOff>
      <xdr:row>21</xdr:row>
      <xdr:rowOff>64273</xdr:rowOff>
    </xdr:from>
    <xdr:to>
      <xdr:col>13</xdr:col>
      <xdr:colOff>334616</xdr:colOff>
      <xdr:row>22</xdr:row>
      <xdr:rowOff>129208</xdr:rowOff>
    </xdr:to>
    <xdr:cxnSp macro="">
      <xdr:nvCxnSpPr>
        <xdr:cNvPr id="145" name="Прямая со стрелкой 144">
          <a:extLst>
            <a:ext uri="{FF2B5EF4-FFF2-40B4-BE49-F238E27FC236}">
              <a16:creationId xmlns="" xmlns:a16="http://schemas.microsoft.com/office/drawing/2014/main" id="{00000000-0008-0000-2600-000091000000}"/>
            </a:ext>
          </a:extLst>
        </xdr:cNvPr>
        <xdr:cNvCxnSpPr>
          <a:stCxn id="75" idx="0"/>
          <a:endCxn id="78" idx="2"/>
        </xdr:cNvCxnSpPr>
      </xdr:nvCxnSpPr>
      <xdr:spPr>
        <a:xfrm>
          <a:off x="5282812" y="3954283"/>
          <a:ext cx="3319504" cy="247815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525118</xdr:colOff>
      <xdr:row>14</xdr:row>
      <xdr:rowOff>106017</xdr:rowOff>
    </xdr:from>
    <xdr:to>
      <xdr:col>14</xdr:col>
      <xdr:colOff>487016</xdr:colOff>
      <xdr:row>20</xdr:row>
      <xdr:rowOff>135834</xdr:rowOff>
    </xdr:to>
    <xdr:cxnSp macro="">
      <xdr:nvCxnSpPr>
        <xdr:cNvPr id="151" name="Прямая со стрелкой 150">
          <a:extLst>
            <a:ext uri="{FF2B5EF4-FFF2-40B4-BE49-F238E27FC236}">
              <a16:creationId xmlns="" xmlns:a16="http://schemas.microsoft.com/office/drawing/2014/main" id="{00000000-0008-0000-2600-000097000000}"/>
            </a:ext>
          </a:extLst>
        </xdr:cNvPr>
        <xdr:cNvCxnSpPr>
          <a:stCxn id="8" idx="1"/>
          <a:endCxn id="78" idx="3"/>
        </xdr:cNvCxnSpPr>
      </xdr:nvCxnSpPr>
      <xdr:spPr>
        <a:xfrm>
          <a:off x="3675822" y="2706756"/>
          <a:ext cx="5716655" cy="1123121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112643</xdr:colOff>
      <xdr:row>0</xdr:row>
      <xdr:rowOff>39757</xdr:rowOff>
    </xdr:from>
    <xdr:to>
      <xdr:col>5</xdr:col>
      <xdr:colOff>29819</xdr:colOff>
      <xdr:row>1</xdr:row>
      <xdr:rowOff>96079</xdr:rowOff>
    </xdr:to>
    <xdr:sp macro="" textlink="">
      <xdr:nvSpPr>
        <xdr:cNvPr id="189" name="Прямоугольник: один усеченный угол 188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00000000-0008-0000-2600-0000BD000000}"/>
            </a:ext>
          </a:extLst>
        </xdr:cNvPr>
        <xdr:cNvSpPr/>
      </xdr:nvSpPr>
      <xdr:spPr>
        <a:xfrm>
          <a:off x="1984513" y="39757"/>
          <a:ext cx="1196010" cy="288235"/>
        </a:xfrm>
        <a:prstGeom prst="snip1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Титул</a:t>
          </a:r>
        </a:p>
      </xdr:txBody>
    </xdr:sp>
    <xdr:clientData/>
  </xdr:twoCellAnchor>
  <xdr:twoCellAnchor>
    <xdr:from>
      <xdr:col>5</xdr:col>
      <xdr:colOff>261730</xdr:colOff>
      <xdr:row>0</xdr:row>
      <xdr:rowOff>46383</xdr:rowOff>
    </xdr:from>
    <xdr:to>
      <xdr:col>7</xdr:col>
      <xdr:colOff>178905</xdr:colOff>
      <xdr:row>1</xdr:row>
      <xdr:rowOff>102705</xdr:rowOff>
    </xdr:to>
    <xdr:sp macro="" textlink="">
      <xdr:nvSpPr>
        <xdr:cNvPr id="194" name="Прямоугольник: один усеченный угол 193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00000000-0008-0000-2600-0000C2000000}"/>
            </a:ext>
          </a:extLst>
        </xdr:cNvPr>
        <xdr:cNvSpPr/>
      </xdr:nvSpPr>
      <xdr:spPr>
        <a:xfrm>
          <a:off x="3412434" y="46383"/>
          <a:ext cx="1196010" cy="288235"/>
        </a:xfrm>
        <a:prstGeom prst="snip1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Оглавление</a:t>
          </a:r>
        </a:p>
      </xdr:txBody>
    </xdr:sp>
    <xdr:clientData/>
  </xdr:twoCellAnchor>
  <xdr:twoCellAnchor>
    <xdr:from>
      <xdr:col>11</xdr:col>
      <xdr:colOff>623016</xdr:colOff>
      <xdr:row>18</xdr:row>
      <xdr:rowOff>95417</xdr:rowOff>
    </xdr:from>
    <xdr:to>
      <xdr:col>17</xdr:col>
      <xdr:colOff>160350</xdr:colOff>
      <xdr:row>26</xdr:row>
      <xdr:rowOff>24186</xdr:rowOff>
    </xdr:to>
    <xdr:cxnSp macro="">
      <xdr:nvCxnSpPr>
        <xdr:cNvPr id="2" name="Прямая со стрелкой 1">
          <a:extLst>
            <a:ext uri="{FF2B5EF4-FFF2-40B4-BE49-F238E27FC236}">
              <a16:creationId xmlns="" xmlns:a16="http://schemas.microsoft.com/office/drawing/2014/main" id="{00000000-0008-0000-2600-000002000000}"/>
            </a:ext>
          </a:extLst>
        </xdr:cNvPr>
        <xdr:cNvCxnSpPr>
          <a:stCxn id="70" idx="2"/>
          <a:endCxn id="77" idx="0"/>
        </xdr:cNvCxnSpPr>
      </xdr:nvCxnSpPr>
      <xdr:spPr>
        <a:xfrm flipH="1">
          <a:off x="7610556" y="3436787"/>
          <a:ext cx="3377814" cy="1391809"/>
        </a:xfrm>
        <a:prstGeom prst="straightConnector1">
          <a:avLst/>
        </a:prstGeom>
        <a:ln w="12700" cap="rnd">
          <a:solidFill>
            <a:schemeClr val="accent4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215512</xdr:colOff>
      <xdr:row>21</xdr:row>
      <xdr:rowOff>64273</xdr:rowOff>
    </xdr:from>
    <xdr:to>
      <xdr:col>16</xdr:col>
      <xdr:colOff>199610</xdr:colOff>
      <xdr:row>25</xdr:row>
      <xdr:rowOff>1078</xdr:rowOff>
    </xdr:to>
    <xdr:cxnSp macro="">
      <xdr:nvCxnSpPr>
        <xdr:cNvPr id="14" name="Прямая со стрелкой 13">
          <a:extLst>
            <a:ext uri="{FF2B5EF4-FFF2-40B4-BE49-F238E27FC236}">
              <a16:creationId xmlns="" xmlns:a16="http://schemas.microsoft.com/office/drawing/2014/main" id="{00000000-0008-0000-2600-00000E000000}"/>
            </a:ext>
          </a:extLst>
        </xdr:cNvPr>
        <xdr:cNvCxnSpPr>
          <a:stCxn id="72" idx="2"/>
          <a:endCxn id="75" idx="0"/>
        </xdr:cNvCxnSpPr>
      </xdr:nvCxnSpPr>
      <xdr:spPr>
        <a:xfrm flipH="1" flipV="1">
          <a:off x="5282812" y="3954283"/>
          <a:ext cx="5104738" cy="668325"/>
        </a:xfrm>
        <a:prstGeom prst="straightConnector1">
          <a:avLst/>
        </a:prstGeom>
        <a:ln w="12700" cap="rnd">
          <a:solidFill>
            <a:schemeClr val="accent4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513521</xdr:colOff>
      <xdr:row>26</xdr:row>
      <xdr:rowOff>24186</xdr:rowOff>
    </xdr:from>
    <xdr:to>
      <xdr:col>9</xdr:col>
      <xdr:colOff>317553</xdr:colOff>
      <xdr:row>28</xdr:row>
      <xdr:rowOff>86140</xdr:rowOff>
    </xdr:to>
    <xdr:cxnSp macro="">
      <xdr:nvCxnSpPr>
        <xdr:cNvPr id="54" name="Прямая со стрелкой 53">
          <a:extLst>
            <a:ext uri="{FF2B5EF4-FFF2-40B4-BE49-F238E27FC236}">
              <a16:creationId xmlns="" xmlns:a16="http://schemas.microsoft.com/office/drawing/2014/main" id="{00000000-0008-0000-2600-000036000000}"/>
            </a:ext>
          </a:extLst>
        </xdr:cNvPr>
        <xdr:cNvCxnSpPr>
          <a:stCxn id="68" idx="0"/>
          <a:endCxn id="77" idx="2"/>
        </xdr:cNvCxnSpPr>
      </xdr:nvCxnSpPr>
      <xdr:spPr>
        <a:xfrm flipV="1">
          <a:off x="2380421" y="4828596"/>
          <a:ext cx="3644512" cy="427714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513522</xdr:colOff>
      <xdr:row>26</xdr:row>
      <xdr:rowOff>24186</xdr:rowOff>
    </xdr:from>
    <xdr:to>
      <xdr:col>9</xdr:col>
      <xdr:colOff>317553</xdr:colOff>
      <xdr:row>33</xdr:row>
      <xdr:rowOff>119602</xdr:rowOff>
    </xdr:to>
    <xdr:cxnSp macro="">
      <xdr:nvCxnSpPr>
        <xdr:cNvPr id="55" name="Прямая со стрелкой 54">
          <a:extLst>
            <a:ext uri="{FF2B5EF4-FFF2-40B4-BE49-F238E27FC236}">
              <a16:creationId xmlns="" xmlns:a16="http://schemas.microsoft.com/office/drawing/2014/main" id="{00000000-0008-0000-2600-000037000000}"/>
            </a:ext>
          </a:extLst>
        </xdr:cNvPr>
        <xdr:cNvCxnSpPr>
          <a:stCxn id="69" idx="0"/>
          <a:endCxn id="77" idx="2"/>
        </xdr:cNvCxnSpPr>
      </xdr:nvCxnSpPr>
      <xdr:spPr>
        <a:xfrm flipV="1">
          <a:off x="2380422" y="4828596"/>
          <a:ext cx="3644511" cy="1375576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480391</xdr:colOff>
      <xdr:row>23</xdr:row>
      <xdr:rowOff>114798</xdr:rowOff>
    </xdr:from>
    <xdr:to>
      <xdr:col>9</xdr:col>
      <xdr:colOff>317553</xdr:colOff>
      <xdr:row>26</xdr:row>
      <xdr:rowOff>24186</xdr:rowOff>
    </xdr:to>
    <xdr:cxnSp macro="">
      <xdr:nvCxnSpPr>
        <xdr:cNvPr id="53" name="Прямая со стрелкой 52">
          <a:extLst>
            <a:ext uri="{FF2B5EF4-FFF2-40B4-BE49-F238E27FC236}">
              <a16:creationId xmlns="" xmlns:a16="http://schemas.microsoft.com/office/drawing/2014/main" id="{00000000-0008-0000-2600-000035000000}"/>
            </a:ext>
          </a:extLst>
        </xdr:cNvPr>
        <xdr:cNvCxnSpPr>
          <a:endCxn id="77" idx="2"/>
        </xdr:cNvCxnSpPr>
      </xdr:nvCxnSpPr>
      <xdr:spPr>
        <a:xfrm>
          <a:off x="2347291" y="4370568"/>
          <a:ext cx="3677642" cy="458028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586740</xdr:colOff>
      <xdr:row>32</xdr:row>
      <xdr:rowOff>133350</xdr:rowOff>
    </xdr:from>
    <xdr:to>
      <xdr:col>13</xdr:col>
      <xdr:colOff>252122</xdr:colOff>
      <xdr:row>36</xdr:row>
      <xdr:rowOff>120097</xdr:rowOff>
    </xdr:to>
    <xdr:sp macro="" textlink="">
      <xdr:nvSpPr>
        <xdr:cNvPr id="65" name="Прямоугольник: один усеченный угол 64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00000000-0008-0000-2600-000041000000}"/>
            </a:ext>
          </a:extLst>
        </xdr:cNvPr>
        <xdr:cNvSpPr/>
      </xdr:nvSpPr>
      <xdr:spPr>
        <a:xfrm>
          <a:off x="6934200" y="6035040"/>
          <a:ext cx="1585622" cy="718267"/>
        </a:xfrm>
        <a:prstGeom prst="snip1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Бюджет доходов и расходов без льгот</a:t>
          </a:r>
        </a:p>
      </xdr:txBody>
    </xdr:sp>
    <xdr:clientData/>
  </xdr:twoCellAnchor>
  <xdr:twoCellAnchor>
    <xdr:from>
      <xdr:col>13</xdr:col>
      <xdr:colOff>419100</xdr:colOff>
      <xdr:row>32</xdr:row>
      <xdr:rowOff>179070</xdr:rowOff>
    </xdr:from>
    <xdr:to>
      <xdr:col>16</xdr:col>
      <xdr:colOff>84483</xdr:colOff>
      <xdr:row>36</xdr:row>
      <xdr:rowOff>165817</xdr:rowOff>
    </xdr:to>
    <xdr:sp macro="" textlink="">
      <xdr:nvSpPr>
        <xdr:cNvPr id="74" name="Прямоугольник: один усеченный угол 73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00000000-0008-0000-2600-00004A000000}"/>
            </a:ext>
          </a:extLst>
        </xdr:cNvPr>
        <xdr:cNvSpPr/>
      </xdr:nvSpPr>
      <xdr:spPr>
        <a:xfrm>
          <a:off x="8686800" y="6080760"/>
          <a:ext cx="1585623" cy="718267"/>
        </a:xfrm>
        <a:prstGeom prst="snip1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Бюджет движения денежных средств без льгот</a:t>
          </a:r>
        </a:p>
      </xdr:txBody>
    </xdr:sp>
    <xdr:clientData/>
  </xdr:twoCellAnchor>
  <xdr:twoCellAnchor>
    <xdr:from>
      <xdr:col>12</xdr:col>
      <xdr:colOff>99391</xdr:colOff>
      <xdr:row>21</xdr:row>
      <xdr:rowOff>131777</xdr:rowOff>
    </xdr:from>
    <xdr:to>
      <xdr:col>16</xdr:col>
      <xdr:colOff>489170</xdr:colOff>
      <xdr:row>32</xdr:row>
      <xdr:rowOff>133350</xdr:rowOff>
    </xdr:to>
    <xdr:cxnSp macro="">
      <xdr:nvCxnSpPr>
        <xdr:cNvPr id="79" name="Прямая со стрелкой 78">
          <a:extLst>
            <a:ext uri="{FF2B5EF4-FFF2-40B4-BE49-F238E27FC236}">
              <a16:creationId xmlns="" xmlns:a16="http://schemas.microsoft.com/office/drawing/2014/main" id="{00000000-0008-0000-2600-00004F000000}"/>
            </a:ext>
          </a:extLst>
        </xdr:cNvPr>
        <xdr:cNvCxnSpPr>
          <a:stCxn id="71" idx="2"/>
          <a:endCxn id="65" idx="3"/>
        </xdr:cNvCxnSpPr>
      </xdr:nvCxnSpPr>
      <xdr:spPr>
        <a:xfrm flipH="1">
          <a:off x="7727011" y="4021787"/>
          <a:ext cx="2950099" cy="2013253"/>
        </a:xfrm>
        <a:prstGeom prst="straightConnector1">
          <a:avLst/>
        </a:prstGeom>
        <a:ln w="12700" cap="rnd">
          <a:solidFill>
            <a:schemeClr val="accent4">
              <a:lumMod val="40000"/>
              <a:lumOff val="60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571832</xdr:colOff>
      <xdr:row>25</xdr:row>
      <xdr:rowOff>1078</xdr:rowOff>
    </xdr:from>
    <xdr:to>
      <xdr:col>16</xdr:col>
      <xdr:colOff>199610</xdr:colOff>
      <xdr:row>32</xdr:row>
      <xdr:rowOff>179070</xdr:rowOff>
    </xdr:to>
    <xdr:cxnSp macro="">
      <xdr:nvCxnSpPr>
        <xdr:cNvPr id="87" name="Прямая со стрелкой 86">
          <a:extLst>
            <a:ext uri="{FF2B5EF4-FFF2-40B4-BE49-F238E27FC236}">
              <a16:creationId xmlns="" xmlns:a16="http://schemas.microsoft.com/office/drawing/2014/main" id="{00000000-0008-0000-2600-000057000000}"/>
            </a:ext>
          </a:extLst>
        </xdr:cNvPr>
        <xdr:cNvCxnSpPr>
          <a:stCxn id="74" idx="3"/>
          <a:endCxn id="72" idx="2"/>
        </xdr:cNvCxnSpPr>
      </xdr:nvCxnSpPr>
      <xdr:spPr>
        <a:xfrm flipV="1">
          <a:off x="9479612" y="4622608"/>
          <a:ext cx="907938" cy="1458152"/>
        </a:xfrm>
        <a:prstGeom prst="straightConnector1">
          <a:avLst/>
        </a:prstGeom>
        <a:ln w="12700" cap="rnd">
          <a:solidFill>
            <a:schemeClr val="accent4">
              <a:lumMod val="40000"/>
              <a:lumOff val="60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564102</xdr:colOff>
      <xdr:row>33</xdr:row>
      <xdr:rowOff>87184</xdr:rowOff>
    </xdr:from>
    <xdr:to>
      <xdr:col>7</xdr:col>
      <xdr:colOff>546846</xdr:colOff>
      <xdr:row>37</xdr:row>
      <xdr:rowOff>165848</xdr:rowOff>
    </xdr:to>
    <xdr:sp macro="" textlink="">
      <xdr:nvSpPr>
        <xdr:cNvPr id="173" name="Прямоугольник: один усеченный угол 172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00000000-0008-0000-2600-0000AD000000}"/>
            </a:ext>
          </a:extLst>
        </xdr:cNvPr>
        <xdr:cNvSpPr/>
      </xdr:nvSpPr>
      <xdr:spPr>
        <a:xfrm>
          <a:off x="3078702" y="6201113"/>
          <a:ext cx="1905673" cy="813770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Ключевые показатели эффективности с льготами</a:t>
          </a:r>
        </a:p>
      </xdr:txBody>
    </xdr:sp>
    <xdr:clientData/>
  </xdr:twoCellAnchor>
  <xdr:twoCellAnchor>
    <xdr:from>
      <xdr:col>10</xdr:col>
      <xdr:colOff>623495</xdr:colOff>
      <xdr:row>38</xdr:row>
      <xdr:rowOff>2913</xdr:rowOff>
    </xdr:from>
    <xdr:to>
      <xdr:col>13</xdr:col>
      <xdr:colOff>287982</xdr:colOff>
      <xdr:row>43</xdr:row>
      <xdr:rowOff>60064</xdr:rowOff>
    </xdr:to>
    <xdr:sp macro="" textlink="">
      <xdr:nvSpPr>
        <xdr:cNvPr id="174" name="Прямоугольник: один усеченный угол 173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00000000-0008-0000-2600-0000AE000000}"/>
            </a:ext>
          </a:extLst>
        </xdr:cNvPr>
        <xdr:cNvSpPr/>
      </xdr:nvSpPr>
      <xdr:spPr>
        <a:xfrm>
          <a:off x="6983954" y="7035725"/>
          <a:ext cx="1587416" cy="976033"/>
        </a:xfrm>
        <a:prstGeom prst="snip1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40000"/>
              <a:lumOff val="60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Ключевые показатели эффективности без льгот</a:t>
          </a:r>
        </a:p>
      </xdr:txBody>
    </xdr:sp>
    <xdr:clientData/>
  </xdr:twoCellAnchor>
  <xdr:twoCellAnchor>
    <xdr:from>
      <xdr:col>6</xdr:col>
      <xdr:colOff>234986</xdr:colOff>
      <xdr:row>28</xdr:row>
      <xdr:rowOff>17559</xdr:rowOff>
    </xdr:from>
    <xdr:to>
      <xdr:col>10</xdr:col>
      <xdr:colOff>470284</xdr:colOff>
      <xdr:row>33</xdr:row>
      <xdr:rowOff>87184</xdr:rowOff>
    </xdr:to>
    <xdr:cxnSp macro="">
      <xdr:nvCxnSpPr>
        <xdr:cNvPr id="188" name="Прямая со стрелкой 187">
          <a:extLst>
            <a:ext uri="{FF2B5EF4-FFF2-40B4-BE49-F238E27FC236}">
              <a16:creationId xmlns="" xmlns:a16="http://schemas.microsoft.com/office/drawing/2014/main" id="{00000000-0008-0000-2600-0000BC000000}"/>
            </a:ext>
          </a:extLst>
        </xdr:cNvPr>
        <xdr:cNvCxnSpPr>
          <a:stCxn id="77" idx="1"/>
          <a:endCxn id="173" idx="3"/>
        </xdr:cNvCxnSpPr>
      </xdr:nvCxnSpPr>
      <xdr:spPr>
        <a:xfrm flipH="1">
          <a:off x="4031539" y="5212606"/>
          <a:ext cx="2799204" cy="988507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493643</xdr:colOff>
      <xdr:row>19</xdr:row>
      <xdr:rowOff>92766</xdr:rowOff>
    </xdr:from>
    <xdr:to>
      <xdr:col>5</xdr:col>
      <xdr:colOff>550130</xdr:colOff>
      <xdr:row>21</xdr:row>
      <xdr:rowOff>64273</xdr:rowOff>
    </xdr:to>
    <xdr:cxnSp macro="">
      <xdr:nvCxnSpPr>
        <xdr:cNvPr id="195" name="Прямая со стрелкой 194">
          <a:extLst>
            <a:ext uri="{FF2B5EF4-FFF2-40B4-BE49-F238E27FC236}">
              <a16:creationId xmlns="" xmlns:a16="http://schemas.microsoft.com/office/drawing/2014/main" id="{00000000-0008-0000-2600-0000C3000000}"/>
            </a:ext>
          </a:extLst>
        </xdr:cNvPr>
        <xdr:cNvCxnSpPr>
          <a:stCxn id="66" idx="0"/>
          <a:endCxn id="75" idx="2"/>
        </xdr:cNvCxnSpPr>
      </xdr:nvCxnSpPr>
      <xdr:spPr>
        <a:xfrm>
          <a:off x="2360543" y="3617016"/>
          <a:ext cx="1336647" cy="337267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480391</xdr:colOff>
      <xdr:row>21</xdr:row>
      <xdr:rowOff>64273</xdr:rowOff>
    </xdr:from>
    <xdr:to>
      <xdr:col>5</xdr:col>
      <xdr:colOff>550130</xdr:colOff>
      <xdr:row>23</xdr:row>
      <xdr:rowOff>126228</xdr:rowOff>
    </xdr:to>
    <xdr:cxnSp macro="">
      <xdr:nvCxnSpPr>
        <xdr:cNvPr id="196" name="Прямая со стрелкой 195">
          <a:extLst>
            <a:ext uri="{FF2B5EF4-FFF2-40B4-BE49-F238E27FC236}">
              <a16:creationId xmlns="" xmlns:a16="http://schemas.microsoft.com/office/drawing/2014/main" id="{00000000-0008-0000-2600-0000C4000000}"/>
            </a:ext>
          </a:extLst>
        </xdr:cNvPr>
        <xdr:cNvCxnSpPr>
          <a:stCxn id="67" idx="0"/>
          <a:endCxn id="75" idx="2"/>
        </xdr:cNvCxnSpPr>
      </xdr:nvCxnSpPr>
      <xdr:spPr>
        <a:xfrm flipV="1">
          <a:off x="2347291" y="3954283"/>
          <a:ext cx="1349899" cy="427715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493643</xdr:colOff>
      <xdr:row>19</xdr:row>
      <xdr:rowOff>92766</xdr:rowOff>
    </xdr:from>
    <xdr:to>
      <xdr:col>9</xdr:col>
      <xdr:colOff>317553</xdr:colOff>
      <xdr:row>26</xdr:row>
      <xdr:rowOff>24186</xdr:rowOff>
    </xdr:to>
    <xdr:cxnSp macro="">
      <xdr:nvCxnSpPr>
        <xdr:cNvPr id="203" name="Прямая со стрелкой 202">
          <a:extLst>
            <a:ext uri="{FF2B5EF4-FFF2-40B4-BE49-F238E27FC236}">
              <a16:creationId xmlns="" xmlns:a16="http://schemas.microsoft.com/office/drawing/2014/main" id="{00000000-0008-0000-2600-0000CB000000}"/>
            </a:ext>
          </a:extLst>
        </xdr:cNvPr>
        <xdr:cNvCxnSpPr>
          <a:stCxn id="66" idx="0"/>
          <a:endCxn id="77" idx="2"/>
        </xdr:cNvCxnSpPr>
      </xdr:nvCxnSpPr>
      <xdr:spPr>
        <a:xfrm>
          <a:off x="2360543" y="3617016"/>
          <a:ext cx="3664390" cy="1211580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98943</xdr:colOff>
      <xdr:row>36</xdr:row>
      <xdr:rowOff>120097</xdr:rowOff>
    </xdr:from>
    <xdr:to>
      <xdr:col>12</xdr:col>
      <xdr:colOff>135250</xdr:colOff>
      <xdr:row>38</xdr:row>
      <xdr:rowOff>2913</xdr:rowOff>
    </xdr:to>
    <xdr:cxnSp macro="">
      <xdr:nvCxnSpPr>
        <xdr:cNvPr id="208" name="Прямая со стрелкой 207">
          <a:extLst>
            <a:ext uri="{FF2B5EF4-FFF2-40B4-BE49-F238E27FC236}">
              <a16:creationId xmlns="" xmlns:a16="http://schemas.microsoft.com/office/drawing/2014/main" id="{00000000-0008-0000-2600-0000D0000000}"/>
            </a:ext>
          </a:extLst>
        </xdr:cNvPr>
        <xdr:cNvCxnSpPr>
          <a:stCxn id="65" idx="1"/>
          <a:endCxn id="174" idx="3"/>
        </xdr:cNvCxnSpPr>
      </xdr:nvCxnSpPr>
      <xdr:spPr>
        <a:xfrm>
          <a:off x="7741355" y="6785356"/>
          <a:ext cx="36307" cy="250369"/>
        </a:xfrm>
        <a:prstGeom prst="straightConnector1">
          <a:avLst/>
        </a:prstGeom>
        <a:ln w="12700" cap="rnd">
          <a:solidFill>
            <a:schemeClr val="accent4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135250</xdr:colOff>
      <xdr:row>36</xdr:row>
      <xdr:rowOff>165817</xdr:rowOff>
    </xdr:from>
    <xdr:to>
      <xdr:col>14</xdr:col>
      <xdr:colOff>572280</xdr:colOff>
      <xdr:row>38</xdr:row>
      <xdr:rowOff>2913</xdr:rowOff>
    </xdr:to>
    <xdr:cxnSp macro="">
      <xdr:nvCxnSpPr>
        <xdr:cNvPr id="211" name="Прямая со стрелкой 210">
          <a:extLst>
            <a:ext uri="{FF2B5EF4-FFF2-40B4-BE49-F238E27FC236}">
              <a16:creationId xmlns="" xmlns:a16="http://schemas.microsoft.com/office/drawing/2014/main" id="{00000000-0008-0000-2600-0000D3000000}"/>
            </a:ext>
          </a:extLst>
        </xdr:cNvPr>
        <xdr:cNvCxnSpPr>
          <a:stCxn id="74" idx="1"/>
          <a:endCxn id="174" idx="3"/>
        </xdr:cNvCxnSpPr>
      </xdr:nvCxnSpPr>
      <xdr:spPr>
        <a:xfrm flipH="1">
          <a:off x="7777662" y="6831076"/>
          <a:ext cx="1718983" cy="204649"/>
        </a:xfrm>
        <a:prstGeom prst="straightConnector1">
          <a:avLst/>
        </a:prstGeom>
        <a:ln w="12700" cap="rnd">
          <a:solidFill>
            <a:schemeClr val="accent4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234986</xdr:colOff>
      <xdr:row>23</xdr:row>
      <xdr:rowOff>57646</xdr:rowOff>
    </xdr:from>
    <xdr:to>
      <xdr:col>7</xdr:col>
      <xdr:colOff>62333</xdr:colOff>
      <xdr:row>33</xdr:row>
      <xdr:rowOff>87184</xdr:rowOff>
    </xdr:to>
    <xdr:cxnSp macro="">
      <xdr:nvCxnSpPr>
        <xdr:cNvPr id="216" name="Прямая со стрелкой 215">
          <a:extLst>
            <a:ext uri="{FF2B5EF4-FFF2-40B4-BE49-F238E27FC236}">
              <a16:creationId xmlns="" xmlns:a16="http://schemas.microsoft.com/office/drawing/2014/main" id="{00000000-0008-0000-2600-0000D8000000}"/>
            </a:ext>
          </a:extLst>
        </xdr:cNvPr>
        <xdr:cNvCxnSpPr>
          <a:stCxn id="75" idx="1"/>
          <a:endCxn id="173" idx="3"/>
        </xdr:cNvCxnSpPr>
      </xdr:nvCxnSpPr>
      <xdr:spPr>
        <a:xfrm flipH="1">
          <a:off x="4031539" y="4333811"/>
          <a:ext cx="468323" cy="1867302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300659</xdr:colOff>
      <xdr:row>6</xdr:row>
      <xdr:rowOff>150579</xdr:rowOff>
    </xdr:from>
    <xdr:to>
      <xdr:col>18</xdr:col>
      <xdr:colOff>137325</xdr:colOff>
      <xdr:row>17</xdr:row>
      <xdr:rowOff>84153</xdr:rowOff>
    </xdr:to>
    <xdr:cxnSp macro="">
      <xdr:nvCxnSpPr>
        <xdr:cNvPr id="219" name="Прямая со стрелкой 218">
          <a:extLst>
            <a:ext uri="{FF2B5EF4-FFF2-40B4-BE49-F238E27FC236}">
              <a16:creationId xmlns="" xmlns:a16="http://schemas.microsoft.com/office/drawing/2014/main" id="{00000000-0008-0000-2600-0000DB000000}"/>
            </a:ext>
          </a:extLst>
        </xdr:cNvPr>
        <xdr:cNvCxnSpPr>
          <a:endCxn id="70" idx="3"/>
        </xdr:cNvCxnSpPr>
      </xdr:nvCxnSpPr>
      <xdr:spPr>
        <a:xfrm>
          <a:off x="7288199" y="1297389"/>
          <a:ext cx="4317226" cy="1945254"/>
        </a:xfrm>
        <a:prstGeom prst="straightConnector1">
          <a:avLst/>
        </a:prstGeom>
        <a:ln w="12700" cap="rnd">
          <a:solidFill>
            <a:schemeClr val="accent5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131361</xdr:colOff>
      <xdr:row>14</xdr:row>
      <xdr:rowOff>145111</xdr:rowOff>
    </xdr:from>
    <xdr:to>
      <xdr:col>15</xdr:col>
      <xdr:colOff>66592</xdr:colOff>
      <xdr:row>19</xdr:row>
      <xdr:rowOff>116619</xdr:rowOff>
    </xdr:to>
    <xdr:cxnSp macro="">
      <xdr:nvCxnSpPr>
        <xdr:cNvPr id="126" name="Прямая со стрелкой 125">
          <a:extLst>
            <a:ext uri="{FF2B5EF4-FFF2-40B4-BE49-F238E27FC236}">
              <a16:creationId xmlns="" xmlns:a16="http://schemas.microsoft.com/office/drawing/2014/main" id="{00000000-0008-0000-2600-00007E000000}"/>
            </a:ext>
          </a:extLst>
        </xdr:cNvPr>
        <xdr:cNvCxnSpPr>
          <a:stCxn id="21" idx="1"/>
        </xdr:cNvCxnSpPr>
      </xdr:nvCxnSpPr>
      <xdr:spPr>
        <a:xfrm flipH="1">
          <a:off x="4558581" y="2754961"/>
          <a:ext cx="5055871" cy="885908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124074</xdr:colOff>
      <xdr:row>6</xdr:row>
      <xdr:rowOff>77360</xdr:rowOff>
    </xdr:from>
    <xdr:to>
      <xdr:col>17</xdr:col>
      <xdr:colOff>467470</xdr:colOff>
      <xdr:row>16</xdr:row>
      <xdr:rowOff>164163</xdr:rowOff>
    </xdr:to>
    <xdr:cxnSp macro="">
      <xdr:nvCxnSpPr>
        <xdr:cNvPr id="222" name="Прямая со стрелкой 221">
          <a:extLst>
            <a:ext uri="{FF2B5EF4-FFF2-40B4-BE49-F238E27FC236}">
              <a16:creationId xmlns="" xmlns:a16="http://schemas.microsoft.com/office/drawing/2014/main" id="{00000000-0008-0000-2600-0000DE000000}"/>
            </a:ext>
          </a:extLst>
        </xdr:cNvPr>
        <xdr:cNvCxnSpPr/>
      </xdr:nvCxnSpPr>
      <xdr:spPr>
        <a:xfrm>
          <a:off x="5831454" y="1224170"/>
          <a:ext cx="5464036" cy="1915603"/>
        </a:xfrm>
        <a:prstGeom prst="straightConnector1">
          <a:avLst/>
        </a:prstGeom>
        <a:ln w="12700" cap="rnd">
          <a:solidFill>
            <a:schemeClr val="accent5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95083</xdr:colOff>
      <xdr:row>11</xdr:row>
      <xdr:rowOff>115294</xdr:rowOff>
    </xdr:from>
    <xdr:to>
      <xdr:col>16</xdr:col>
      <xdr:colOff>38100</xdr:colOff>
      <xdr:row>14</xdr:row>
      <xdr:rowOff>145111</xdr:rowOff>
    </xdr:to>
    <xdr:sp macro="" textlink="">
      <xdr:nvSpPr>
        <xdr:cNvPr id="21" name="Прямоугольник: один усеченный угол 20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00000000-0008-0000-2600-000015000000}"/>
            </a:ext>
          </a:extLst>
        </xdr:cNvPr>
        <xdr:cNvSpPr/>
      </xdr:nvSpPr>
      <xdr:spPr>
        <a:xfrm>
          <a:off x="9002863" y="2176504"/>
          <a:ext cx="1223177" cy="578457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Персонал</a:t>
          </a:r>
        </a:p>
      </xdr:txBody>
    </xdr:sp>
    <xdr:clientData/>
  </xdr:twoCellAnchor>
  <xdr:twoCellAnchor>
    <xdr:from>
      <xdr:col>11</xdr:col>
      <xdr:colOff>481053</xdr:colOff>
      <xdr:row>11</xdr:row>
      <xdr:rowOff>112975</xdr:rowOff>
    </xdr:from>
    <xdr:to>
      <xdr:col>13</xdr:col>
      <xdr:colOff>424733</xdr:colOff>
      <xdr:row>14</xdr:row>
      <xdr:rowOff>142792</xdr:rowOff>
    </xdr:to>
    <xdr:sp macro="" textlink="">
      <xdr:nvSpPr>
        <xdr:cNvPr id="20" name="Прямоугольник: один усеченный угол 19">
          <a:hlinkClick xmlns:r="http://schemas.openxmlformats.org/officeDocument/2006/relationships" r:id="rId20"/>
          <a:extLst>
            <a:ext uri="{FF2B5EF4-FFF2-40B4-BE49-F238E27FC236}">
              <a16:creationId xmlns="" xmlns:a16="http://schemas.microsoft.com/office/drawing/2014/main" id="{00000000-0008-0000-2600-000014000000}"/>
            </a:ext>
          </a:extLst>
        </xdr:cNvPr>
        <xdr:cNvSpPr/>
      </xdr:nvSpPr>
      <xdr:spPr>
        <a:xfrm>
          <a:off x="7468593" y="2174185"/>
          <a:ext cx="1223840" cy="578457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Себестоимость</a:t>
          </a:r>
        </a:p>
      </xdr:txBody>
    </xdr:sp>
    <xdr:clientData/>
  </xdr:twoCellAnchor>
  <xdr:twoCellAnchor>
    <xdr:from>
      <xdr:col>12</xdr:col>
      <xdr:colOff>99391</xdr:colOff>
      <xdr:row>25</xdr:row>
      <xdr:rowOff>1078</xdr:rowOff>
    </xdr:from>
    <xdr:to>
      <xdr:col>16</xdr:col>
      <xdr:colOff>199610</xdr:colOff>
      <xdr:row>32</xdr:row>
      <xdr:rowOff>133350</xdr:rowOff>
    </xdr:to>
    <xdr:cxnSp macro="">
      <xdr:nvCxnSpPr>
        <xdr:cNvPr id="3" name="Прямая со стрелкой 2">
          <a:extLst>
            <a:ext uri="{FF2B5EF4-FFF2-40B4-BE49-F238E27FC236}">
              <a16:creationId xmlns="" xmlns:a16="http://schemas.microsoft.com/office/drawing/2014/main" id="{00000000-0008-0000-2600-000003000000}"/>
            </a:ext>
          </a:extLst>
        </xdr:cNvPr>
        <xdr:cNvCxnSpPr>
          <a:stCxn id="72" idx="2"/>
          <a:endCxn id="65" idx="3"/>
        </xdr:cNvCxnSpPr>
      </xdr:nvCxnSpPr>
      <xdr:spPr>
        <a:xfrm flipH="1">
          <a:off x="7727011" y="4622608"/>
          <a:ext cx="2660539" cy="1412432"/>
        </a:xfrm>
        <a:prstGeom prst="straightConnector1">
          <a:avLst/>
        </a:prstGeom>
        <a:ln w="12700" cap="rnd">
          <a:solidFill>
            <a:schemeClr val="accent4">
              <a:lumMod val="40000"/>
              <a:lumOff val="60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571832</xdr:colOff>
      <xdr:row>21</xdr:row>
      <xdr:rowOff>131777</xdr:rowOff>
    </xdr:from>
    <xdr:to>
      <xdr:col>16</xdr:col>
      <xdr:colOff>489170</xdr:colOff>
      <xdr:row>32</xdr:row>
      <xdr:rowOff>179070</xdr:rowOff>
    </xdr:to>
    <xdr:cxnSp macro="">
      <xdr:nvCxnSpPr>
        <xdr:cNvPr id="33" name="Прямая со стрелкой 32">
          <a:extLst>
            <a:ext uri="{FF2B5EF4-FFF2-40B4-BE49-F238E27FC236}">
              <a16:creationId xmlns="" xmlns:a16="http://schemas.microsoft.com/office/drawing/2014/main" id="{00000000-0008-0000-2600-000021000000}"/>
            </a:ext>
          </a:extLst>
        </xdr:cNvPr>
        <xdr:cNvCxnSpPr>
          <a:stCxn id="71" idx="2"/>
          <a:endCxn id="74" idx="3"/>
        </xdr:cNvCxnSpPr>
      </xdr:nvCxnSpPr>
      <xdr:spPr>
        <a:xfrm flipH="1">
          <a:off x="9479612" y="4021787"/>
          <a:ext cx="1197498" cy="2058973"/>
        </a:xfrm>
        <a:prstGeom prst="straightConnector1">
          <a:avLst/>
        </a:prstGeom>
        <a:ln w="12700" cap="rnd">
          <a:solidFill>
            <a:schemeClr val="accent4">
              <a:lumMod val="40000"/>
              <a:lumOff val="60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234986</xdr:colOff>
      <xdr:row>24</xdr:row>
      <xdr:rowOff>122581</xdr:rowOff>
    </xdr:from>
    <xdr:to>
      <xdr:col>14</xdr:col>
      <xdr:colOff>487016</xdr:colOff>
      <xdr:row>33</xdr:row>
      <xdr:rowOff>87184</xdr:rowOff>
    </xdr:to>
    <xdr:cxnSp macro="">
      <xdr:nvCxnSpPr>
        <xdr:cNvPr id="36" name="Прямая со стрелкой 35">
          <a:extLst>
            <a:ext uri="{FF2B5EF4-FFF2-40B4-BE49-F238E27FC236}">
              <a16:creationId xmlns="" xmlns:a16="http://schemas.microsoft.com/office/drawing/2014/main" id="{00000000-0008-0000-2600-000024000000}"/>
            </a:ext>
          </a:extLst>
        </xdr:cNvPr>
        <xdr:cNvCxnSpPr>
          <a:stCxn id="78" idx="1"/>
          <a:endCxn id="173" idx="3"/>
        </xdr:cNvCxnSpPr>
      </xdr:nvCxnSpPr>
      <xdr:spPr>
        <a:xfrm flipH="1">
          <a:off x="4031539" y="4582522"/>
          <a:ext cx="5379842" cy="1618591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317553</xdr:colOff>
      <xdr:row>24</xdr:row>
      <xdr:rowOff>30812</xdr:rowOff>
    </xdr:from>
    <xdr:to>
      <xdr:col>11</xdr:col>
      <xdr:colOff>623016</xdr:colOff>
      <xdr:row>28</xdr:row>
      <xdr:rowOff>17559</xdr:rowOff>
    </xdr:to>
    <xdr:sp macro="" textlink="">
      <xdr:nvSpPr>
        <xdr:cNvPr id="77" name="Прямоугольник: один усеченный угол 76">
          <a:hlinkClick xmlns:r="http://schemas.openxmlformats.org/officeDocument/2006/relationships" r:id="rId21"/>
          <a:extLst>
            <a:ext uri="{FF2B5EF4-FFF2-40B4-BE49-F238E27FC236}">
              <a16:creationId xmlns="" xmlns:a16="http://schemas.microsoft.com/office/drawing/2014/main" id="{00000000-0008-0000-2600-00004D000000}"/>
            </a:ext>
          </a:extLst>
        </xdr:cNvPr>
        <xdr:cNvSpPr/>
      </xdr:nvSpPr>
      <xdr:spPr>
        <a:xfrm>
          <a:off x="6024933" y="4469462"/>
          <a:ext cx="1585623" cy="718267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Бюджет движения денежных средств</a:t>
          </a:r>
        </a:p>
      </xdr:txBody>
    </xdr:sp>
    <xdr:clientData/>
  </xdr:twoCellAnchor>
  <xdr:twoCellAnchor>
    <xdr:from>
      <xdr:col>12</xdr:col>
      <xdr:colOff>622375</xdr:colOff>
      <xdr:row>47</xdr:row>
      <xdr:rowOff>76201</xdr:rowOff>
    </xdr:from>
    <xdr:to>
      <xdr:col>15</xdr:col>
      <xdr:colOff>286862</xdr:colOff>
      <xdr:row>50</xdr:row>
      <xdr:rowOff>10253</xdr:rowOff>
    </xdr:to>
    <xdr:sp macro="" textlink="">
      <xdr:nvSpPr>
        <xdr:cNvPr id="40" name="Прямоугольник: один усеченный угол 39">
          <a:hlinkClick xmlns:r="http://schemas.openxmlformats.org/officeDocument/2006/relationships" r:id="rId22"/>
          <a:extLst>
            <a:ext uri="{FF2B5EF4-FFF2-40B4-BE49-F238E27FC236}">
              <a16:creationId xmlns="" xmlns:a16="http://schemas.microsoft.com/office/drawing/2014/main" id="{00000000-0008-0000-2600-000028000000}"/>
            </a:ext>
          </a:extLst>
        </xdr:cNvPr>
        <xdr:cNvSpPr/>
      </xdr:nvSpPr>
      <xdr:spPr>
        <a:xfrm>
          <a:off x="8264787" y="8763001"/>
          <a:ext cx="1587416" cy="485381"/>
        </a:xfrm>
        <a:prstGeom prst="snip1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Дашборд № 2</a:t>
          </a:r>
        </a:p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(без льгот)</a:t>
          </a:r>
        </a:p>
      </xdr:txBody>
    </xdr:sp>
    <xdr:clientData/>
  </xdr:twoCellAnchor>
  <xdr:twoCellAnchor>
    <xdr:from>
      <xdr:col>2</xdr:col>
      <xdr:colOff>778799</xdr:colOff>
      <xdr:row>23</xdr:row>
      <xdr:rowOff>57646</xdr:rowOff>
    </xdr:from>
    <xdr:to>
      <xdr:col>7</xdr:col>
      <xdr:colOff>62333</xdr:colOff>
      <xdr:row>39</xdr:row>
      <xdr:rowOff>174813</xdr:rowOff>
    </xdr:to>
    <xdr:cxnSp macro="">
      <xdr:nvCxnSpPr>
        <xdr:cNvPr id="44" name="Прямая со стрелкой 43">
          <a:extLst>
            <a:ext uri="{FF2B5EF4-FFF2-40B4-BE49-F238E27FC236}">
              <a16:creationId xmlns="" xmlns:a16="http://schemas.microsoft.com/office/drawing/2014/main" id="{00000000-0008-0000-2600-00002C000000}"/>
            </a:ext>
          </a:extLst>
        </xdr:cNvPr>
        <xdr:cNvCxnSpPr>
          <a:cxnSpLocks/>
          <a:stCxn id="75" idx="1"/>
          <a:endCxn id="11" idx="3"/>
        </xdr:cNvCxnSpPr>
      </xdr:nvCxnSpPr>
      <xdr:spPr>
        <a:xfrm flipH="1">
          <a:off x="1850081" y="4333811"/>
          <a:ext cx="2649781" cy="3057590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550130</xdr:colOff>
      <xdr:row>19</xdr:row>
      <xdr:rowOff>70899</xdr:rowOff>
    </xdr:from>
    <xdr:to>
      <xdr:col>8</xdr:col>
      <xdr:colOff>215512</xdr:colOff>
      <xdr:row>23</xdr:row>
      <xdr:rowOff>57646</xdr:rowOff>
    </xdr:to>
    <xdr:sp macro="" textlink="">
      <xdr:nvSpPr>
        <xdr:cNvPr id="75" name="Прямоугольник: один усеченный угол 74">
          <a:hlinkClick xmlns:r="http://schemas.openxmlformats.org/officeDocument/2006/relationships" r:id="rId23"/>
          <a:extLst>
            <a:ext uri="{FF2B5EF4-FFF2-40B4-BE49-F238E27FC236}">
              <a16:creationId xmlns="" xmlns:a16="http://schemas.microsoft.com/office/drawing/2014/main" id="{00000000-0008-0000-2600-00004B000000}"/>
            </a:ext>
          </a:extLst>
        </xdr:cNvPr>
        <xdr:cNvSpPr/>
      </xdr:nvSpPr>
      <xdr:spPr>
        <a:xfrm>
          <a:off x="3697190" y="3595149"/>
          <a:ext cx="1585622" cy="718267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Бюджет доходов и расходов</a:t>
          </a:r>
        </a:p>
      </xdr:txBody>
    </xdr:sp>
    <xdr:clientData/>
  </xdr:twoCellAnchor>
  <xdr:twoCellAnchor>
    <xdr:from>
      <xdr:col>16</xdr:col>
      <xdr:colOff>396240</xdr:colOff>
      <xdr:row>33</xdr:row>
      <xdr:rowOff>3810</xdr:rowOff>
    </xdr:from>
    <xdr:to>
      <xdr:col>19</xdr:col>
      <xdr:colOff>61623</xdr:colOff>
      <xdr:row>36</xdr:row>
      <xdr:rowOff>173437</xdr:rowOff>
    </xdr:to>
    <xdr:sp macro="" textlink="">
      <xdr:nvSpPr>
        <xdr:cNvPr id="58" name="Прямоугольник: один усеченный угол 57">
          <a:hlinkClick xmlns:r="http://schemas.openxmlformats.org/officeDocument/2006/relationships" r:id="rId24"/>
          <a:extLst>
            <a:ext uri="{FF2B5EF4-FFF2-40B4-BE49-F238E27FC236}">
              <a16:creationId xmlns="" xmlns:a16="http://schemas.microsoft.com/office/drawing/2014/main" id="{00000000-0008-0000-2600-00003A000000}"/>
            </a:ext>
          </a:extLst>
        </xdr:cNvPr>
        <xdr:cNvSpPr/>
      </xdr:nvSpPr>
      <xdr:spPr>
        <a:xfrm>
          <a:off x="10584180" y="6088380"/>
          <a:ext cx="1585623" cy="718267"/>
        </a:xfrm>
        <a:prstGeom prst="snip1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Баланс без льгот</a:t>
          </a:r>
        </a:p>
      </xdr:txBody>
    </xdr:sp>
    <xdr:clientData/>
  </xdr:twoCellAnchor>
  <xdr:twoCellAnchor>
    <xdr:from>
      <xdr:col>9</xdr:col>
      <xdr:colOff>612942</xdr:colOff>
      <xdr:row>53</xdr:row>
      <xdr:rowOff>55357</xdr:rowOff>
    </xdr:from>
    <xdr:to>
      <xdr:col>11</xdr:col>
      <xdr:colOff>553639</xdr:colOff>
      <xdr:row>55</xdr:row>
      <xdr:rowOff>14607</xdr:rowOff>
    </xdr:to>
    <xdr:sp macro="" textlink="">
      <xdr:nvSpPr>
        <xdr:cNvPr id="89" name="Прямоугольник: один усеченный угол 88">
          <a:hlinkClick xmlns:r="http://schemas.openxmlformats.org/officeDocument/2006/relationships" r:id="rId25"/>
          <a:extLst>
            <a:ext uri="{FF2B5EF4-FFF2-40B4-BE49-F238E27FC236}">
              <a16:creationId xmlns="" xmlns:a16="http://schemas.microsoft.com/office/drawing/2014/main" id="{00000000-0008-0000-2600-000059000000}"/>
            </a:ext>
          </a:extLst>
        </xdr:cNvPr>
        <xdr:cNvSpPr/>
      </xdr:nvSpPr>
      <xdr:spPr>
        <a:xfrm>
          <a:off x="6332424" y="9844816"/>
          <a:ext cx="1222650" cy="326803"/>
        </a:xfrm>
        <a:prstGeom prst="snip1Rect">
          <a:avLst/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Легенда</a:t>
          </a:r>
        </a:p>
      </xdr:txBody>
    </xdr:sp>
    <xdr:clientData/>
  </xdr:twoCellAnchor>
  <xdr:twoCellAnchor>
    <xdr:from>
      <xdr:col>10</xdr:col>
      <xdr:colOff>207065</xdr:colOff>
      <xdr:row>0</xdr:row>
      <xdr:rowOff>30480</xdr:rowOff>
    </xdr:from>
    <xdr:to>
      <xdr:col>12</xdr:col>
      <xdr:colOff>129540</xdr:colOff>
      <xdr:row>1</xdr:row>
      <xdr:rowOff>76200</xdr:rowOff>
    </xdr:to>
    <xdr:sp macro="" textlink="">
      <xdr:nvSpPr>
        <xdr:cNvPr id="90" name="Прямоугольник: один усеченный угол 89">
          <a:hlinkClick xmlns:r="http://schemas.openxmlformats.org/officeDocument/2006/relationships" r:id="rId26"/>
          <a:extLst>
            <a:ext uri="{FF2B5EF4-FFF2-40B4-BE49-F238E27FC236}">
              <a16:creationId xmlns="" xmlns:a16="http://schemas.microsoft.com/office/drawing/2014/main" id="{00000000-0008-0000-2600-00005A000000}"/>
            </a:ext>
          </a:extLst>
        </xdr:cNvPr>
        <xdr:cNvSpPr/>
      </xdr:nvSpPr>
      <xdr:spPr>
        <a:xfrm>
          <a:off x="6554525" y="30480"/>
          <a:ext cx="1202635" cy="278130"/>
        </a:xfrm>
        <a:prstGeom prst="snip1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Контроль</a:t>
          </a:r>
        </a:p>
      </xdr:txBody>
    </xdr:sp>
    <xdr:clientData/>
  </xdr:twoCellAnchor>
  <xdr:twoCellAnchor>
    <xdr:from>
      <xdr:col>12</xdr:col>
      <xdr:colOff>238890</xdr:colOff>
      <xdr:row>53</xdr:row>
      <xdr:rowOff>73510</xdr:rowOff>
    </xdr:from>
    <xdr:to>
      <xdr:col>14</xdr:col>
      <xdr:colOff>179587</xdr:colOff>
      <xdr:row>55</xdr:row>
      <xdr:rowOff>32760</xdr:rowOff>
    </xdr:to>
    <xdr:sp macro="" textlink="">
      <xdr:nvSpPr>
        <xdr:cNvPr id="91" name="Прямоугольник: один усеченный угол 90">
          <a:hlinkClick xmlns:r="http://schemas.openxmlformats.org/officeDocument/2006/relationships" r:id="rId26"/>
          <a:extLst>
            <a:ext uri="{FF2B5EF4-FFF2-40B4-BE49-F238E27FC236}">
              <a16:creationId xmlns="" xmlns:a16="http://schemas.microsoft.com/office/drawing/2014/main" id="{00000000-0008-0000-2600-00005B000000}"/>
            </a:ext>
          </a:extLst>
        </xdr:cNvPr>
        <xdr:cNvSpPr/>
      </xdr:nvSpPr>
      <xdr:spPr>
        <a:xfrm>
          <a:off x="7881302" y="9862969"/>
          <a:ext cx="1222650" cy="326803"/>
        </a:xfrm>
        <a:prstGeom prst="snip1Rect">
          <a:avLst/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Шаблон листа</a:t>
          </a:r>
        </a:p>
      </xdr:txBody>
    </xdr:sp>
    <xdr:clientData/>
  </xdr:twoCellAnchor>
  <xdr:twoCellAnchor>
    <xdr:from>
      <xdr:col>14</xdr:col>
      <xdr:colOff>481385</xdr:colOff>
      <xdr:row>53</xdr:row>
      <xdr:rowOff>87630</xdr:rowOff>
    </xdr:from>
    <xdr:to>
      <xdr:col>16</xdr:col>
      <xdr:colOff>422082</xdr:colOff>
      <xdr:row>55</xdr:row>
      <xdr:rowOff>46880</xdr:rowOff>
    </xdr:to>
    <xdr:sp macro="" textlink="">
      <xdr:nvSpPr>
        <xdr:cNvPr id="92" name="Прямоугольник: один усеченный угол 91">
          <a:hlinkClick xmlns:r="http://schemas.openxmlformats.org/officeDocument/2006/relationships" r:id="rId27"/>
          <a:extLst>
            <a:ext uri="{FF2B5EF4-FFF2-40B4-BE49-F238E27FC236}">
              <a16:creationId xmlns="" xmlns:a16="http://schemas.microsoft.com/office/drawing/2014/main" id="{00000000-0008-0000-2600-00005C000000}"/>
            </a:ext>
          </a:extLst>
        </xdr:cNvPr>
        <xdr:cNvSpPr/>
      </xdr:nvSpPr>
      <xdr:spPr>
        <a:xfrm>
          <a:off x="9389165" y="9829800"/>
          <a:ext cx="1220857" cy="325010"/>
        </a:xfrm>
        <a:prstGeom prst="snip1Rect">
          <a:avLst/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Требования</a:t>
          </a:r>
        </a:p>
      </xdr:txBody>
    </xdr:sp>
    <xdr:clientData/>
  </xdr:twoCellAnchor>
  <xdr:twoCellAnchor>
    <xdr:from>
      <xdr:col>7</xdr:col>
      <xdr:colOff>574150</xdr:colOff>
      <xdr:row>0</xdr:row>
      <xdr:rowOff>54003</xdr:rowOff>
    </xdr:from>
    <xdr:to>
      <xdr:col>9</xdr:col>
      <xdr:colOff>491325</xdr:colOff>
      <xdr:row>1</xdr:row>
      <xdr:rowOff>110325</xdr:rowOff>
    </xdr:to>
    <xdr:sp macro="" textlink="">
      <xdr:nvSpPr>
        <xdr:cNvPr id="5" name="Прямоугольник: один усеченный угол 4">
          <a:hlinkClick xmlns:r="http://schemas.openxmlformats.org/officeDocument/2006/relationships" r:id="rId28"/>
          <a:extLst>
            <a:ext uri="{FF2B5EF4-FFF2-40B4-BE49-F238E27FC236}">
              <a16:creationId xmlns="" xmlns:a16="http://schemas.microsoft.com/office/drawing/2014/main" id="{00000000-0008-0000-2600-000005000000}"/>
            </a:ext>
          </a:extLst>
        </xdr:cNvPr>
        <xdr:cNvSpPr/>
      </xdr:nvSpPr>
      <xdr:spPr>
        <a:xfrm>
          <a:off x="5001370" y="54003"/>
          <a:ext cx="1197335" cy="288732"/>
        </a:xfrm>
        <a:prstGeom prst="snip1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Описание</a:t>
          </a:r>
        </a:p>
      </xdr:txBody>
    </xdr:sp>
    <xdr:clientData/>
  </xdr:twoCellAnchor>
  <xdr:twoCellAnchor>
    <xdr:from>
      <xdr:col>2</xdr:col>
      <xdr:colOff>130641</xdr:colOff>
      <xdr:row>39</xdr:row>
      <xdr:rowOff>174813</xdr:rowOff>
    </xdr:from>
    <xdr:to>
      <xdr:col>3</xdr:col>
      <xdr:colOff>624615</xdr:colOff>
      <xdr:row>43</xdr:row>
      <xdr:rowOff>125283</xdr:rowOff>
    </xdr:to>
    <xdr:sp macro="" textlink="">
      <xdr:nvSpPr>
        <xdr:cNvPr id="11" name="Прямоугольник: один усеченный угол 10">
          <a:hlinkClick xmlns:r="http://schemas.openxmlformats.org/officeDocument/2006/relationships" r:id="rId29"/>
          <a:extLst>
            <a:ext uri="{FF2B5EF4-FFF2-40B4-BE49-F238E27FC236}">
              <a16:creationId xmlns="" xmlns:a16="http://schemas.microsoft.com/office/drawing/2014/main" id="{00000000-0008-0000-2600-00000B000000}"/>
            </a:ext>
          </a:extLst>
        </xdr:cNvPr>
        <xdr:cNvSpPr/>
      </xdr:nvSpPr>
      <xdr:spPr>
        <a:xfrm>
          <a:off x="1201923" y="7391401"/>
          <a:ext cx="1296316" cy="685576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Чувствительность</a:t>
          </a:r>
        </a:p>
      </xdr:txBody>
    </xdr:sp>
    <xdr:clientData/>
  </xdr:twoCellAnchor>
  <xdr:twoCellAnchor>
    <xdr:from>
      <xdr:col>2</xdr:col>
      <xdr:colOff>122125</xdr:colOff>
      <xdr:row>45</xdr:row>
      <xdr:rowOff>175260</xdr:rowOff>
    </xdr:from>
    <xdr:to>
      <xdr:col>3</xdr:col>
      <xdr:colOff>616099</xdr:colOff>
      <xdr:row>47</xdr:row>
      <xdr:rowOff>114300</xdr:rowOff>
    </xdr:to>
    <xdr:sp macro="" textlink="">
      <xdr:nvSpPr>
        <xdr:cNvPr id="35" name="Прямоугольник: один усеченный угол 34">
          <a:hlinkClick xmlns:r="http://schemas.openxmlformats.org/officeDocument/2006/relationships" r:id="rId30"/>
          <a:extLst>
            <a:ext uri="{FF2B5EF4-FFF2-40B4-BE49-F238E27FC236}">
              <a16:creationId xmlns="" xmlns:a16="http://schemas.microsoft.com/office/drawing/2014/main" id="{00000000-0008-0000-2600-000023000000}"/>
            </a:ext>
          </a:extLst>
        </xdr:cNvPr>
        <xdr:cNvSpPr/>
      </xdr:nvSpPr>
      <xdr:spPr>
        <a:xfrm>
          <a:off x="1193407" y="8494507"/>
          <a:ext cx="1296316" cy="306593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WACC</a:t>
          </a:r>
          <a:endParaRPr lang="ru-RU" sz="1100" b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563880</xdr:colOff>
      <xdr:row>38</xdr:row>
      <xdr:rowOff>97267</xdr:rowOff>
    </xdr:from>
    <xdr:to>
      <xdr:col>7</xdr:col>
      <xdr:colOff>618565</xdr:colOff>
      <xdr:row>42</xdr:row>
      <xdr:rowOff>84014</xdr:rowOff>
    </xdr:to>
    <xdr:sp macro="" textlink="">
      <xdr:nvSpPr>
        <xdr:cNvPr id="34" name="Прямоугольник: один усеченный угол 33">
          <a:hlinkClick xmlns:r="http://schemas.openxmlformats.org/officeDocument/2006/relationships" r:id="rId31"/>
          <a:extLst>
            <a:ext uri="{FF2B5EF4-FFF2-40B4-BE49-F238E27FC236}">
              <a16:creationId xmlns="" xmlns:a16="http://schemas.microsoft.com/office/drawing/2014/main" id="{00000000-0008-0000-2600-000022000000}"/>
            </a:ext>
          </a:extLst>
        </xdr:cNvPr>
        <xdr:cNvSpPr/>
      </xdr:nvSpPr>
      <xdr:spPr>
        <a:xfrm>
          <a:off x="3078480" y="7130079"/>
          <a:ext cx="1977614" cy="721853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Итоговые</a:t>
          </a:r>
          <a:r>
            <a:rPr lang="ru-RU" sz="11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таблицы для файла описания проекта</a:t>
          </a:r>
          <a:endParaRPr lang="ru-RU" sz="11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430530</xdr:colOff>
      <xdr:row>27</xdr:row>
      <xdr:rowOff>34290</xdr:rowOff>
    </xdr:from>
    <xdr:to>
      <xdr:col>17</xdr:col>
      <xdr:colOff>384480</xdr:colOff>
      <xdr:row>30</xdr:row>
      <xdr:rowOff>9274</xdr:rowOff>
    </xdr:to>
    <xdr:sp macro="" textlink="">
      <xdr:nvSpPr>
        <xdr:cNvPr id="137" name="Прямоугольник: один усеченный угол 136">
          <a:hlinkClick xmlns:r="http://schemas.openxmlformats.org/officeDocument/2006/relationships" r:id="rId32"/>
          <a:extLst>
            <a:ext uri="{FF2B5EF4-FFF2-40B4-BE49-F238E27FC236}">
              <a16:creationId xmlns="" xmlns:a16="http://schemas.microsoft.com/office/drawing/2014/main" id="{00000000-0008-0000-2600-000089000000}"/>
            </a:ext>
          </a:extLst>
        </xdr:cNvPr>
        <xdr:cNvSpPr/>
      </xdr:nvSpPr>
      <xdr:spPr>
        <a:xfrm>
          <a:off x="9978390" y="5021580"/>
          <a:ext cx="1234110" cy="523624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Рсчет налога на землю</a:t>
          </a:r>
        </a:p>
      </xdr:txBody>
    </xdr:sp>
    <xdr:clientData/>
  </xdr:twoCellAnchor>
  <xdr:twoCellAnchor>
    <xdr:from>
      <xdr:col>17</xdr:col>
      <xdr:colOff>609599</xdr:colOff>
      <xdr:row>28</xdr:row>
      <xdr:rowOff>116541</xdr:rowOff>
    </xdr:from>
    <xdr:to>
      <xdr:col>19</xdr:col>
      <xdr:colOff>445769</xdr:colOff>
      <xdr:row>32</xdr:row>
      <xdr:rowOff>13448</xdr:rowOff>
    </xdr:to>
    <xdr:sp macro="" textlink="">
      <xdr:nvSpPr>
        <xdr:cNvPr id="138" name="Прямоугольник: один усеченный угол 137">
          <a:hlinkClick xmlns:r="http://schemas.openxmlformats.org/officeDocument/2006/relationships" r:id="rId33"/>
          <a:extLst>
            <a:ext uri="{FF2B5EF4-FFF2-40B4-BE49-F238E27FC236}">
              <a16:creationId xmlns="" xmlns:a16="http://schemas.microsoft.com/office/drawing/2014/main" id="{00000000-0008-0000-2600-00008A000000}"/>
            </a:ext>
          </a:extLst>
        </xdr:cNvPr>
        <xdr:cNvSpPr/>
      </xdr:nvSpPr>
      <xdr:spPr>
        <a:xfrm>
          <a:off x="11456893" y="5311588"/>
          <a:ext cx="1118123" cy="632013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Свод налогов</a:t>
          </a:r>
          <a:r>
            <a:rPr lang="ru-RU" sz="1100" b="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и льгот</a:t>
          </a:r>
          <a:endParaRPr lang="ru-RU" sz="1100" b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527684</xdr:colOff>
      <xdr:row>18</xdr:row>
      <xdr:rowOff>95417</xdr:rowOff>
    </xdr:from>
    <xdr:to>
      <xdr:col>19</xdr:col>
      <xdr:colOff>114300</xdr:colOff>
      <xdr:row>28</xdr:row>
      <xdr:rowOff>116541</xdr:rowOff>
    </xdr:to>
    <xdr:cxnSp macro="">
      <xdr:nvCxnSpPr>
        <xdr:cNvPr id="139" name="Прямая со стрелкой 138">
          <a:extLst>
            <a:ext uri="{FF2B5EF4-FFF2-40B4-BE49-F238E27FC236}">
              <a16:creationId xmlns="" xmlns:a16="http://schemas.microsoft.com/office/drawing/2014/main" id="{00000000-0008-0000-2600-00008B000000}"/>
            </a:ext>
          </a:extLst>
        </xdr:cNvPr>
        <xdr:cNvCxnSpPr>
          <a:stCxn id="70" idx="0"/>
          <a:endCxn id="138" idx="3"/>
        </xdr:cNvCxnSpPr>
      </xdr:nvCxnSpPr>
      <xdr:spPr>
        <a:xfrm flipH="1">
          <a:off x="12015955" y="3452699"/>
          <a:ext cx="227592" cy="1858889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443120</xdr:colOff>
      <xdr:row>21</xdr:row>
      <xdr:rowOff>132225</xdr:rowOff>
    </xdr:from>
    <xdr:to>
      <xdr:col>18</xdr:col>
      <xdr:colOff>527684</xdr:colOff>
      <xdr:row>28</xdr:row>
      <xdr:rowOff>116541</xdr:rowOff>
    </xdr:to>
    <xdr:cxnSp macro="">
      <xdr:nvCxnSpPr>
        <xdr:cNvPr id="143" name="Прямая со стрелкой 142">
          <a:extLst>
            <a:ext uri="{FF2B5EF4-FFF2-40B4-BE49-F238E27FC236}">
              <a16:creationId xmlns="" xmlns:a16="http://schemas.microsoft.com/office/drawing/2014/main" id="{00000000-0008-0000-2600-00008F000000}"/>
            </a:ext>
          </a:extLst>
        </xdr:cNvPr>
        <xdr:cNvCxnSpPr>
          <a:stCxn id="71" idx="0"/>
          <a:endCxn id="138" idx="3"/>
        </xdr:cNvCxnSpPr>
      </xdr:nvCxnSpPr>
      <xdr:spPr>
        <a:xfrm>
          <a:off x="11931391" y="4040837"/>
          <a:ext cx="84564" cy="1270751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153560</xdr:colOff>
      <xdr:row>25</xdr:row>
      <xdr:rowOff>630</xdr:rowOff>
    </xdr:from>
    <xdr:to>
      <xdr:col>18</xdr:col>
      <xdr:colOff>527684</xdr:colOff>
      <xdr:row>28</xdr:row>
      <xdr:rowOff>116541</xdr:rowOff>
    </xdr:to>
    <xdr:cxnSp macro="">
      <xdr:nvCxnSpPr>
        <xdr:cNvPr id="147" name="Прямая со стрелкой 146">
          <a:extLst>
            <a:ext uri="{FF2B5EF4-FFF2-40B4-BE49-F238E27FC236}">
              <a16:creationId xmlns="" xmlns:a16="http://schemas.microsoft.com/office/drawing/2014/main" id="{00000000-0008-0000-2600-000093000000}"/>
            </a:ext>
          </a:extLst>
        </xdr:cNvPr>
        <xdr:cNvCxnSpPr>
          <a:stCxn id="72" idx="0"/>
          <a:endCxn id="138" idx="3"/>
        </xdr:cNvCxnSpPr>
      </xdr:nvCxnSpPr>
      <xdr:spPr>
        <a:xfrm>
          <a:off x="11641831" y="4644348"/>
          <a:ext cx="374124" cy="667240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384480</xdr:colOff>
      <xdr:row>28</xdr:row>
      <xdr:rowOff>113671</xdr:rowOff>
    </xdr:from>
    <xdr:to>
      <xdr:col>18</xdr:col>
      <xdr:colOff>527684</xdr:colOff>
      <xdr:row>28</xdr:row>
      <xdr:rowOff>116541</xdr:rowOff>
    </xdr:to>
    <xdr:cxnSp macro="">
      <xdr:nvCxnSpPr>
        <xdr:cNvPr id="150" name="Прямая со стрелкой 149">
          <a:extLst>
            <a:ext uri="{FF2B5EF4-FFF2-40B4-BE49-F238E27FC236}">
              <a16:creationId xmlns="" xmlns:a16="http://schemas.microsoft.com/office/drawing/2014/main" id="{00000000-0008-0000-2600-000096000000}"/>
            </a:ext>
          </a:extLst>
        </xdr:cNvPr>
        <xdr:cNvCxnSpPr>
          <a:stCxn id="137" idx="0"/>
          <a:endCxn id="138" idx="3"/>
        </xdr:cNvCxnSpPr>
      </xdr:nvCxnSpPr>
      <xdr:spPr>
        <a:xfrm>
          <a:off x="11231774" y="5308718"/>
          <a:ext cx="784181" cy="2870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334616</xdr:colOff>
      <xdr:row>20</xdr:row>
      <xdr:rowOff>135834</xdr:rowOff>
    </xdr:from>
    <xdr:to>
      <xdr:col>15</xdr:col>
      <xdr:colOff>639416</xdr:colOff>
      <xdr:row>24</xdr:row>
      <xdr:rowOff>122581</xdr:rowOff>
    </xdr:to>
    <xdr:sp macro="" textlink="">
      <xdr:nvSpPr>
        <xdr:cNvPr id="78" name="Прямоугольник: один усеченный угол 77">
          <a:hlinkClick xmlns:r="http://schemas.openxmlformats.org/officeDocument/2006/relationships" r:id="rId34"/>
          <a:extLst>
            <a:ext uri="{FF2B5EF4-FFF2-40B4-BE49-F238E27FC236}">
              <a16:creationId xmlns="" xmlns:a16="http://schemas.microsoft.com/office/drawing/2014/main" id="{00000000-0008-0000-2600-00004E000000}"/>
            </a:ext>
          </a:extLst>
        </xdr:cNvPr>
        <xdr:cNvSpPr/>
      </xdr:nvSpPr>
      <xdr:spPr>
        <a:xfrm>
          <a:off x="8600659" y="3829877"/>
          <a:ext cx="1583635" cy="715617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Баланс</a:t>
          </a:r>
        </a:p>
      </xdr:txBody>
    </xdr:sp>
    <xdr:clientData/>
  </xdr:twoCellAnchor>
  <xdr:twoCellAnchor>
    <xdr:from>
      <xdr:col>4</xdr:col>
      <xdr:colOff>555811</xdr:colOff>
      <xdr:row>43</xdr:row>
      <xdr:rowOff>85165</xdr:rowOff>
    </xdr:from>
    <xdr:to>
      <xdr:col>7</xdr:col>
      <xdr:colOff>600635</xdr:colOff>
      <xdr:row>47</xdr:row>
      <xdr:rowOff>71912</xdr:rowOff>
    </xdr:to>
    <xdr:sp macro="" textlink="">
      <xdr:nvSpPr>
        <xdr:cNvPr id="60" name="Прямоугольник: один усеченный угол 59">
          <a:hlinkClick xmlns:r="http://schemas.openxmlformats.org/officeDocument/2006/relationships" r:id="rId35"/>
          <a:extLst>
            <a:ext uri="{FF2B5EF4-FFF2-40B4-BE49-F238E27FC236}">
              <a16:creationId xmlns="" xmlns:a16="http://schemas.microsoft.com/office/drawing/2014/main" id="{00000000-0008-0000-2600-00003C000000}"/>
            </a:ext>
          </a:extLst>
        </xdr:cNvPr>
        <xdr:cNvSpPr/>
      </xdr:nvSpPr>
      <xdr:spPr>
        <a:xfrm>
          <a:off x="3070411" y="8036859"/>
          <a:ext cx="1967753" cy="721853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Графики для файла описания проекта</a:t>
          </a:r>
          <a:endParaRPr lang="ru-RU" sz="11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237565</xdr:colOff>
      <xdr:row>47</xdr:row>
      <xdr:rowOff>94129</xdr:rowOff>
    </xdr:from>
    <xdr:to>
      <xdr:col>11</xdr:col>
      <xdr:colOff>543028</xdr:colOff>
      <xdr:row>50</xdr:row>
      <xdr:rowOff>28181</xdr:rowOff>
    </xdr:to>
    <xdr:sp macro="" textlink="">
      <xdr:nvSpPr>
        <xdr:cNvPr id="23" name="Прямоугольник: один усеченный угол 22">
          <a:hlinkClick xmlns:r="http://schemas.openxmlformats.org/officeDocument/2006/relationships" r:id="rId36"/>
          <a:extLst>
            <a:ext uri="{FF2B5EF4-FFF2-40B4-BE49-F238E27FC236}">
              <a16:creationId xmlns="" xmlns:a16="http://schemas.microsoft.com/office/drawing/2014/main" id="{00000000-0008-0000-2600-000017000000}"/>
            </a:ext>
          </a:extLst>
        </xdr:cNvPr>
        <xdr:cNvSpPr/>
      </xdr:nvSpPr>
      <xdr:spPr>
        <a:xfrm>
          <a:off x="5957047" y="8780929"/>
          <a:ext cx="1587416" cy="485381"/>
        </a:xfrm>
        <a:prstGeom prst="snip1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Дашборд № 1</a:t>
          </a:r>
        </a:p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(с льготами)</a:t>
          </a:r>
        </a:p>
      </xdr:txBody>
    </xdr:sp>
    <xdr:clientData/>
  </xdr:twoCellAnchor>
  <xdr:twoCellAnchor>
    <xdr:from>
      <xdr:col>1</xdr:col>
      <xdr:colOff>564776</xdr:colOff>
      <xdr:row>3</xdr:row>
      <xdr:rowOff>121024</xdr:rowOff>
    </xdr:from>
    <xdr:to>
      <xdr:col>4</xdr:col>
      <xdr:colOff>510988</xdr:colOff>
      <xdr:row>9</xdr:row>
      <xdr:rowOff>161365</xdr:rowOff>
    </xdr:to>
    <xdr:sp macro="" textlink="">
      <xdr:nvSpPr>
        <xdr:cNvPr id="12" name="Прямоугольник: скругленные углы 11">
          <a:extLst>
            <a:ext uri="{FF2B5EF4-FFF2-40B4-BE49-F238E27FC236}">
              <a16:creationId xmlns="" xmlns:a16="http://schemas.microsoft.com/office/drawing/2014/main" id="{00000000-0008-0000-2600-00000C000000}"/>
            </a:ext>
          </a:extLst>
        </xdr:cNvPr>
        <xdr:cNvSpPr/>
      </xdr:nvSpPr>
      <xdr:spPr>
        <a:xfrm>
          <a:off x="833717" y="721659"/>
          <a:ext cx="2191871" cy="1143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Данный</a:t>
          </a:r>
          <a:r>
            <a:rPr lang="ru-RU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лист нужен будет для исполнителей для визуализации зависимостей в ФЭМ</a:t>
          </a:r>
          <a:endParaRPr lang="ru-RU" sz="11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179294</xdr:colOff>
      <xdr:row>47</xdr:row>
      <xdr:rowOff>107576</xdr:rowOff>
    </xdr:from>
    <xdr:to>
      <xdr:col>18</xdr:col>
      <xdr:colOff>484757</xdr:colOff>
      <xdr:row>50</xdr:row>
      <xdr:rowOff>41628</xdr:rowOff>
    </xdr:to>
    <xdr:sp macro="" textlink="">
      <xdr:nvSpPr>
        <xdr:cNvPr id="15" name="Прямоугольник: один усеченный угол 14">
          <a:hlinkClick xmlns:r="http://schemas.openxmlformats.org/officeDocument/2006/relationships" r:id="rId37"/>
          <a:extLst>
            <a:ext uri="{FF2B5EF4-FFF2-40B4-BE49-F238E27FC236}">
              <a16:creationId xmlns="" xmlns:a16="http://schemas.microsoft.com/office/drawing/2014/main" id="{00000000-0008-0000-2600-00000F000000}"/>
            </a:ext>
          </a:extLst>
        </xdr:cNvPr>
        <xdr:cNvSpPr/>
      </xdr:nvSpPr>
      <xdr:spPr>
        <a:xfrm>
          <a:off x="10385612" y="8794376"/>
          <a:ext cx="1587416" cy="485381"/>
        </a:xfrm>
        <a:prstGeom prst="snip1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Дашборд налоги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3856384</xdr:colOff>
      <xdr:row>1</xdr:row>
      <xdr:rowOff>23191</xdr:rowOff>
    </xdr:from>
    <xdr:to>
      <xdr:col>1</xdr:col>
      <xdr:colOff>4815508</xdr:colOff>
      <xdr:row>1</xdr:row>
      <xdr:rowOff>297179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700-000002000000}"/>
            </a:ext>
          </a:extLst>
        </xdr:cNvPr>
        <xdr:cNvSpPr/>
      </xdr:nvSpPr>
      <xdr:spPr>
        <a:xfrm>
          <a:off x="4621697" y="255104"/>
          <a:ext cx="959124" cy="27398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28575</xdr:rowOff>
        </xdr:from>
        <xdr:to>
          <xdr:col>5</xdr:col>
          <xdr:colOff>476250</xdr:colOff>
          <xdr:row>7</xdr:row>
          <xdr:rowOff>238125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57150</xdr:rowOff>
        </xdr:from>
        <xdr:to>
          <xdr:col>5</xdr:col>
          <xdr:colOff>476250</xdr:colOff>
          <xdr:row>9</xdr:row>
          <xdr:rowOff>266700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5</xdr:row>
          <xdr:rowOff>361950</xdr:rowOff>
        </xdr:from>
        <xdr:to>
          <xdr:col>5</xdr:col>
          <xdr:colOff>457200</xdr:colOff>
          <xdr:row>5</xdr:row>
          <xdr:rowOff>561975</xdr:rowOff>
        </xdr:to>
        <xdr:sp macro="" textlink="">
          <xdr:nvSpPr>
            <xdr:cNvPr id="36874" name="Check Box 10" hidden="1">
              <a:extLst>
                <a:ext uri="{63B3BB69-23CF-44E3-9099-C40C66FF867C}">
                  <a14:compatExt spid="_x0000_s36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57150</xdr:rowOff>
        </xdr:from>
        <xdr:to>
          <xdr:col>5</xdr:col>
          <xdr:colOff>476250</xdr:colOff>
          <xdr:row>11</xdr:row>
          <xdr:rowOff>266700</xdr:rowOff>
        </xdr:to>
        <xdr:sp macro="" textlink="">
          <xdr:nvSpPr>
            <xdr:cNvPr id="36877" name="Check Box 13" hidden="1">
              <a:extLst>
                <a:ext uri="{63B3BB69-23CF-44E3-9099-C40C66FF867C}">
                  <a14:compatExt spid="_x0000_s36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57150</xdr:rowOff>
        </xdr:from>
        <xdr:to>
          <xdr:col>5</xdr:col>
          <xdr:colOff>476250</xdr:colOff>
          <xdr:row>13</xdr:row>
          <xdr:rowOff>266700</xdr:rowOff>
        </xdr:to>
        <xdr:sp macro="" textlink="">
          <xdr:nvSpPr>
            <xdr:cNvPr id="36885" name="Check Box 21" hidden="1">
              <a:extLst>
                <a:ext uri="{63B3BB69-23CF-44E3-9099-C40C66FF867C}">
                  <a14:compatExt spid="_x0000_s36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</xdr:row>
          <xdr:rowOff>57150</xdr:rowOff>
        </xdr:from>
        <xdr:to>
          <xdr:col>5</xdr:col>
          <xdr:colOff>476250</xdr:colOff>
          <xdr:row>15</xdr:row>
          <xdr:rowOff>266700</xdr:rowOff>
        </xdr:to>
        <xdr:sp macro="" textlink="">
          <xdr:nvSpPr>
            <xdr:cNvPr id="36886" name="Check Box 22" hidden="1">
              <a:extLst>
                <a:ext uri="{63B3BB69-23CF-44E3-9099-C40C66FF867C}">
                  <a14:compatExt spid="_x0000_s36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</xdr:row>
          <xdr:rowOff>57150</xdr:rowOff>
        </xdr:from>
        <xdr:to>
          <xdr:col>5</xdr:col>
          <xdr:colOff>476250</xdr:colOff>
          <xdr:row>17</xdr:row>
          <xdr:rowOff>266700</xdr:rowOff>
        </xdr:to>
        <xdr:sp macro="" textlink="">
          <xdr:nvSpPr>
            <xdr:cNvPr id="36887" name="Check Box 23" hidden="1">
              <a:extLst>
                <a:ext uri="{63B3BB69-23CF-44E3-9099-C40C66FF867C}">
                  <a14:compatExt spid="_x0000_s36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</xdr:row>
          <xdr:rowOff>133350</xdr:rowOff>
        </xdr:from>
        <xdr:to>
          <xdr:col>5</xdr:col>
          <xdr:colOff>466725</xdr:colOff>
          <xdr:row>19</xdr:row>
          <xdr:rowOff>333375</xdr:rowOff>
        </xdr:to>
        <xdr:sp macro="" textlink="">
          <xdr:nvSpPr>
            <xdr:cNvPr id="36888" name="Check Box 24" hidden="1">
              <a:extLst>
                <a:ext uri="{63B3BB69-23CF-44E3-9099-C40C66FF867C}">
                  <a14:compatExt spid="_x0000_s36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57150</xdr:rowOff>
        </xdr:from>
        <xdr:to>
          <xdr:col>5</xdr:col>
          <xdr:colOff>476250</xdr:colOff>
          <xdr:row>21</xdr:row>
          <xdr:rowOff>266700</xdr:rowOff>
        </xdr:to>
        <xdr:sp macro="" textlink="">
          <xdr:nvSpPr>
            <xdr:cNvPr id="36890" name="Check Box 26" hidden="1">
              <a:extLst>
                <a:ext uri="{63B3BB69-23CF-44E3-9099-C40C66FF867C}">
                  <a14:compatExt spid="_x0000_s36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57150</xdr:rowOff>
        </xdr:from>
        <xdr:to>
          <xdr:col>5</xdr:col>
          <xdr:colOff>476250</xdr:colOff>
          <xdr:row>23</xdr:row>
          <xdr:rowOff>266700</xdr:rowOff>
        </xdr:to>
        <xdr:sp macro="" textlink="">
          <xdr:nvSpPr>
            <xdr:cNvPr id="36891" name="Check Box 27" hidden="1">
              <a:extLst>
                <a:ext uri="{63B3BB69-23CF-44E3-9099-C40C66FF867C}">
                  <a14:compatExt spid="_x0000_s36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57150</xdr:rowOff>
        </xdr:from>
        <xdr:to>
          <xdr:col>5</xdr:col>
          <xdr:colOff>476250</xdr:colOff>
          <xdr:row>25</xdr:row>
          <xdr:rowOff>266700</xdr:rowOff>
        </xdr:to>
        <xdr:sp macro="" textlink="">
          <xdr:nvSpPr>
            <xdr:cNvPr id="36892" name="Check Box 28" hidden="1">
              <a:extLst>
                <a:ext uri="{63B3BB69-23CF-44E3-9099-C40C66FF867C}">
                  <a14:compatExt spid="_x0000_s36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</xdr:row>
          <xdr:rowOff>57150</xdr:rowOff>
        </xdr:from>
        <xdr:to>
          <xdr:col>5</xdr:col>
          <xdr:colOff>476250</xdr:colOff>
          <xdr:row>27</xdr:row>
          <xdr:rowOff>266700</xdr:rowOff>
        </xdr:to>
        <xdr:sp macro="" textlink="">
          <xdr:nvSpPr>
            <xdr:cNvPr id="36893" name="Check Box 29" hidden="1">
              <a:extLst>
                <a:ext uri="{63B3BB69-23CF-44E3-9099-C40C66FF867C}">
                  <a14:compatExt spid="_x0000_s36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</xdr:row>
          <xdr:rowOff>57150</xdr:rowOff>
        </xdr:from>
        <xdr:to>
          <xdr:col>5</xdr:col>
          <xdr:colOff>476250</xdr:colOff>
          <xdr:row>29</xdr:row>
          <xdr:rowOff>266700</xdr:rowOff>
        </xdr:to>
        <xdr:sp macro="" textlink="">
          <xdr:nvSpPr>
            <xdr:cNvPr id="36894" name="Check Box 30" hidden="1">
              <a:extLst>
                <a:ext uri="{63B3BB69-23CF-44E3-9099-C40C66FF867C}">
                  <a14:compatExt spid="_x0000_s36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</xdr:row>
          <xdr:rowOff>57150</xdr:rowOff>
        </xdr:from>
        <xdr:to>
          <xdr:col>5</xdr:col>
          <xdr:colOff>476250</xdr:colOff>
          <xdr:row>31</xdr:row>
          <xdr:rowOff>266700</xdr:rowOff>
        </xdr:to>
        <xdr:sp macro="" textlink="">
          <xdr:nvSpPr>
            <xdr:cNvPr id="36895" name="Check Box 31" hidden="1">
              <a:extLst>
                <a:ext uri="{63B3BB69-23CF-44E3-9099-C40C66FF867C}">
                  <a14:compatExt spid="_x0000_s36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57150</xdr:rowOff>
        </xdr:from>
        <xdr:to>
          <xdr:col>5</xdr:col>
          <xdr:colOff>476250</xdr:colOff>
          <xdr:row>33</xdr:row>
          <xdr:rowOff>266700</xdr:rowOff>
        </xdr:to>
        <xdr:sp macro="" textlink="">
          <xdr:nvSpPr>
            <xdr:cNvPr id="36896" name="Check Box 32" hidden="1">
              <a:extLst>
                <a:ext uri="{63B3BB69-23CF-44E3-9099-C40C66FF867C}">
                  <a14:compatExt spid="_x0000_s36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</xdr:row>
          <xdr:rowOff>57150</xdr:rowOff>
        </xdr:from>
        <xdr:to>
          <xdr:col>5</xdr:col>
          <xdr:colOff>476250</xdr:colOff>
          <xdr:row>35</xdr:row>
          <xdr:rowOff>266700</xdr:rowOff>
        </xdr:to>
        <xdr:sp macro="" textlink="">
          <xdr:nvSpPr>
            <xdr:cNvPr id="36897" name="Check Box 33" hidden="1">
              <a:extLst>
                <a:ext uri="{63B3BB69-23CF-44E3-9099-C40C66FF867C}">
                  <a14:compatExt spid="_x0000_s36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</xdr:row>
          <xdr:rowOff>57150</xdr:rowOff>
        </xdr:from>
        <xdr:to>
          <xdr:col>5</xdr:col>
          <xdr:colOff>476250</xdr:colOff>
          <xdr:row>37</xdr:row>
          <xdr:rowOff>266700</xdr:rowOff>
        </xdr:to>
        <xdr:sp macro="" textlink="">
          <xdr:nvSpPr>
            <xdr:cNvPr id="36898" name="Check Box 34" hidden="1">
              <a:extLst>
                <a:ext uri="{63B3BB69-23CF-44E3-9099-C40C66FF867C}">
                  <a14:compatExt spid="_x0000_s36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57150</xdr:rowOff>
        </xdr:from>
        <xdr:to>
          <xdr:col>5</xdr:col>
          <xdr:colOff>476250</xdr:colOff>
          <xdr:row>39</xdr:row>
          <xdr:rowOff>266700</xdr:rowOff>
        </xdr:to>
        <xdr:sp macro="" textlink="">
          <xdr:nvSpPr>
            <xdr:cNvPr id="36899" name="Check Box 35" hidden="1">
              <a:extLst>
                <a:ext uri="{63B3BB69-23CF-44E3-9099-C40C66FF867C}">
                  <a14:compatExt spid="_x0000_s36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0</xdr:rowOff>
        </xdr:from>
        <xdr:to>
          <xdr:col>5</xdr:col>
          <xdr:colOff>476250</xdr:colOff>
          <xdr:row>41</xdr:row>
          <xdr:rowOff>209550</xdr:rowOff>
        </xdr:to>
        <xdr:sp macro="" textlink="">
          <xdr:nvSpPr>
            <xdr:cNvPr id="36900" name="Check Box 36" hidden="1">
              <a:extLst>
                <a:ext uri="{63B3BB69-23CF-44E3-9099-C40C66FF867C}">
                  <a14:compatExt spid="_x0000_s36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0</xdr:rowOff>
        </xdr:from>
        <xdr:to>
          <xdr:col>5</xdr:col>
          <xdr:colOff>476250</xdr:colOff>
          <xdr:row>41</xdr:row>
          <xdr:rowOff>209550</xdr:rowOff>
        </xdr:to>
        <xdr:sp macro="" textlink="">
          <xdr:nvSpPr>
            <xdr:cNvPr id="36901" name="Check Box 37" hidden="1">
              <a:extLst>
                <a:ext uri="{63B3BB69-23CF-44E3-9099-C40C66FF867C}">
                  <a14:compatExt spid="_x0000_s36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57150</xdr:rowOff>
        </xdr:from>
        <xdr:to>
          <xdr:col>5</xdr:col>
          <xdr:colOff>476250</xdr:colOff>
          <xdr:row>41</xdr:row>
          <xdr:rowOff>266700</xdr:rowOff>
        </xdr:to>
        <xdr:sp macro="" textlink="">
          <xdr:nvSpPr>
            <xdr:cNvPr id="36902" name="Check Box 38" hidden="1">
              <a:extLst>
                <a:ext uri="{63B3BB69-23CF-44E3-9099-C40C66FF867C}">
                  <a14:compatExt spid="_x0000_s36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47625</xdr:rowOff>
        </xdr:from>
        <xdr:to>
          <xdr:col>5</xdr:col>
          <xdr:colOff>476250</xdr:colOff>
          <xdr:row>41</xdr:row>
          <xdr:rowOff>257175</xdr:rowOff>
        </xdr:to>
        <xdr:sp macro="" textlink="">
          <xdr:nvSpPr>
            <xdr:cNvPr id="36903" name="Check Box 39" hidden="1">
              <a:extLst>
                <a:ext uri="{63B3BB69-23CF-44E3-9099-C40C66FF867C}">
                  <a14:compatExt spid="_x0000_s36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</xdr:colOff>
      <xdr:row>4</xdr:row>
      <xdr:rowOff>50650</xdr:rowOff>
    </xdr:from>
    <xdr:to>
      <xdr:col>2</xdr:col>
      <xdr:colOff>731429</xdr:colOff>
      <xdr:row>4</xdr:row>
      <xdr:rowOff>410650</xdr:rowOff>
    </xdr:to>
    <xdr:sp macro="" textlink="КПЭбезЛьгот!#REF!">
      <xdr:nvSpPr>
        <xdr:cNvPr id="2" name="Прямоугольник: скругленные углы 1">
          <a:extLst>
            <a:ext uri="{FF2B5EF4-FFF2-40B4-BE49-F238E27FC236}">
              <a16:creationId xmlns="" xmlns:a16="http://schemas.microsoft.com/office/drawing/2014/main" id="{00000000-0008-0000-2800-000002000000}"/>
            </a:ext>
          </a:extLst>
        </xdr:cNvPr>
        <xdr:cNvSpPr/>
      </xdr:nvSpPr>
      <xdr:spPr>
        <a:xfrm>
          <a:off x="2118135" y="651285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46DA3EEF-8407-4228-98D3-FFF5A58B1BE0}" type="TxLink">
            <a:rPr lang="en-US" sz="14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100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11</xdr:row>
      <xdr:rowOff>76200</xdr:rowOff>
    </xdr:from>
    <xdr:to>
      <xdr:col>2</xdr:col>
      <xdr:colOff>720000</xdr:colOff>
      <xdr:row>11</xdr:row>
      <xdr:rowOff>436200</xdr:rowOff>
    </xdr:to>
    <xdr:sp macro="" textlink="КПЭ!#REF!">
      <xdr:nvSpPr>
        <xdr:cNvPr id="3" name="Прямоугольник: скругленные углы 2">
          <a:extLst>
            <a:ext uri="{FF2B5EF4-FFF2-40B4-BE49-F238E27FC236}">
              <a16:creationId xmlns="" xmlns:a16="http://schemas.microsoft.com/office/drawing/2014/main" id="{00000000-0008-0000-2800-000003000000}"/>
            </a:ext>
          </a:extLst>
        </xdr:cNvPr>
        <xdr:cNvSpPr/>
      </xdr:nvSpPr>
      <xdr:spPr>
        <a:xfrm>
          <a:off x="2103120" y="4754880"/>
          <a:ext cx="720000" cy="3600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A7884A1F-9966-4914-855A-120342673DD3}" type="TxLink">
            <a:rPr lang="en-US" sz="14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120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13671</xdr:colOff>
      <xdr:row>12</xdr:row>
      <xdr:rowOff>104663</xdr:rowOff>
    </xdr:from>
    <xdr:to>
      <xdr:col>2</xdr:col>
      <xdr:colOff>712695</xdr:colOff>
      <xdr:row>12</xdr:row>
      <xdr:rowOff>464663</xdr:rowOff>
    </xdr:to>
    <xdr:sp macro="" textlink="КПЭбезЛьгот!#REF!">
      <xdr:nvSpPr>
        <xdr:cNvPr id="4" name="Прямоугольник: скругленные углы 3">
          <a:extLst>
            <a:ext uri="{FF2B5EF4-FFF2-40B4-BE49-F238E27FC236}">
              <a16:creationId xmlns="" xmlns:a16="http://schemas.microsoft.com/office/drawing/2014/main" id="{00000000-0008-0000-2800-000004000000}"/>
            </a:ext>
          </a:extLst>
        </xdr:cNvPr>
        <xdr:cNvSpPr/>
      </xdr:nvSpPr>
      <xdr:spPr>
        <a:xfrm>
          <a:off x="2116791" y="5366273"/>
          <a:ext cx="699024" cy="3600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FB240EF7-E801-4F7E-B48E-D7726323F668}" type="TxLink">
            <a:rPr lang="en-US" sz="14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100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17929</xdr:colOff>
      <xdr:row>13</xdr:row>
      <xdr:rowOff>137160</xdr:rowOff>
    </xdr:from>
    <xdr:to>
      <xdr:col>2</xdr:col>
      <xdr:colOff>719999</xdr:colOff>
      <xdr:row>13</xdr:row>
      <xdr:rowOff>497160</xdr:rowOff>
    </xdr:to>
    <xdr:sp macro="" textlink="КПЭбезЛьгот!#REF!">
      <xdr:nvSpPr>
        <xdr:cNvPr id="5" name="Прямоугольник: скругленные углы 4">
          <a:extLst>
            <a:ext uri="{FF2B5EF4-FFF2-40B4-BE49-F238E27FC236}">
              <a16:creationId xmlns="" xmlns:a16="http://schemas.microsoft.com/office/drawing/2014/main" id="{00000000-0008-0000-2800-000005000000}"/>
            </a:ext>
          </a:extLst>
        </xdr:cNvPr>
        <xdr:cNvSpPr/>
      </xdr:nvSpPr>
      <xdr:spPr>
        <a:xfrm>
          <a:off x="2121049" y="5981700"/>
          <a:ext cx="702070" cy="3600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6D215B8F-93AB-4A60-91B1-F33EE4EA92EC}" type="TxLink">
            <a:rPr lang="en-US" sz="14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800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97491</xdr:colOff>
      <xdr:row>4</xdr:row>
      <xdr:rowOff>64098</xdr:rowOff>
    </xdr:from>
    <xdr:to>
      <xdr:col>7</xdr:col>
      <xdr:colOff>6186</xdr:colOff>
      <xdr:row>4</xdr:row>
      <xdr:rowOff>424098</xdr:rowOff>
    </xdr:to>
    <xdr:sp macro="" textlink="КПЭбезЛьгот!#REF!">
      <xdr:nvSpPr>
        <xdr:cNvPr id="7" name="Прямоугольник: скругленные углы 6">
          <a:extLst>
            <a:ext uri="{FF2B5EF4-FFF2-40B4-BE49-F238E27FC236}">
              <a16:creationId xmlns="" xmlns:a16="http://schemas.microsoft.com/office/drawing/2014/main" id="{00000000-0008-0000-2800-000007000000}"/>
            </a:ext>
          </a:extLst>
        </xdr:cNvPr>
        <xdr:cNvSpPr/>
      </xdr:nvSpPr>
      <xdr:spPr>
        <a:xfrm>
          <a:off x="14557562" y="664733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05691F78-091B-47B4-A9F2-E4EE3BE67D74}" type="TxLink">
            <a:rPr lang="en-US" sz="14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44 </a:t>
          </a:fld>
          <a:endParaRPr lang="ru-RU" sz="14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76199</xdr:colOff>
      <xdr:row>7</xdr:row>
      <xdr:rowOff>7620</xdr:rowOff>
    </xdr:from>
    <xdr:to>
      <xdr:col>6</xdr:col>
      <xdr:colOff>796199</xdr:colOff>
      <xdr:row>7</xdr:row>
      <xdr:rowOff>367620</xdr:rowOff>
    </xdr:to>
    <xdr:sp macro="" textlink="КПЭбезЛьгот!#REF!">
      <xdr:nvSpPr>
        <xdr:cNvPr id="8" name="Прямоугольник: скругленные углы 7">
          <a:extLst>
            <a:ext uri="{FF2B5EF4-FFF2-40B4-BE49-F238E27FC236}">
              <a16:creationId xmlns="" xmlns:a16="http://schemas.microsoft.com/office/drawing/2014/main" id="{00000000-0008-0000-2800-000008000000}"/>
            </a:ext>
          </a:extLst>
        </xdr:cNvPr>
        <xdr:cNvSpPr/>
      </xdr:nvSpPr>
      <xdr:spPr>
        <a:xfrm>
          <a:off x="14531339" y="2354580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8AA7C4F1-4C2D-45D4-9ECA-0698CA41A42E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26 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76199</xdr:colOff>
      <xdr:row>8</xdr:row>
      <xdr:rowOff>19050</xdr:rowOff>
    </xdr:from>
    <xdr:to>
      <xdr:col>6</xdr:col>
      <xdr:colOff>796199</xdr:colOff>
      <xdr:row>8</xdr:row>
      <xdr:rowOff>379050</xdr:rowOff>
    </xdr:to>
    <xdr:sp macro="" textlink="КПЭбезЛьгот!#REF!">
      <xdr:nvSpPr>
        <xdr:cNvPr id="9" name="Прямоугольник: скругленные углы 8">
          <a:extLst>
            <a:ext uri="{FF2B5EF4-FFF2-40B4-BE49-F238E27FC236}">
              <a16:creationId xmlns="" xmlns:a16="http://schemas.microsoft.com/office/drawing/2014/main" id="{00000000-0008-0000-2800-000009000000}"/>
            </a:ext>
          </a:extLst>
        </xdr:cNvPr>
        <xdr:cNvSpPr/>
      </xdr:nvSpPr>
      <xdr:spPr>
        <a:xfrm>
          <a:off x="14531339" y="2948940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B916C7C9-E645-4681-82A2-7F8AC3A76C4A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336 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87630</xdr:colOff>
      <xdr:row>10</xdr:row>
      <xdr:rowOff>45720</xdr:rowOff>
    </xdr:from>
    <xdr:to>
      <xdr:col>6</xdr:col>
      <xdr:colOff>807630</xdr:colOff>
      <xdr:row>10</xdr:row>
      <xdr:rowOff>405720</xdr:rowOff>
    </xdr:to>
    <xdr:sp macro="" textlink="КПЭбезЛьгот!#REF!">
      <xdr:nvSpPr>
        <xdr:cNvPr id="10" name="Прямоугольник: скругленные углы 9">
          <a:extLst>
            <a:ext uri="{FF2B5EF4-FFF2-40B4-BE49-F238E27FC236}">
              <a16:creationId xmlns="" xmlns:a16="http://schemas.microsoft.com/office/drawing/2014/main" id="{00000000-0008-0000-2800-00000A000000}"/>
            </a:ext>
          </a:extLst>
        </xdr:cNvPr>
        <xdr:cNvSpPr/>
      </xdr:nvSpPr>
      <xdr:spPr>
        <a:xfrm>
          <a:off x="14542770" y="4141470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0BEFFD4B-0EDA-4EB2-A9D3-71104BC32E0D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930 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18151</xdr:colOff>
      <xdr:row>8</xdr:row>
      <xdr:rowOff>84493</xdr:rowOff>
    </xdr:from>
    <xdr:to>
      <xdr:col>3</xdr:col>
      <xdr:colOff>116541</xdr:colOff>
      <xdr:row>8</xdr:row>
      <xdr:rowOff>444493</xdr:rowOff>
    </xdr:to>
    <xdr:sp macro="" textlink="КПЭбезЛьгот!#REF!">
      <xdr:nvSpPr>
        <xdr:cNvPr id="13" name="Прямоугольник: скругленные углы 12">
          <a:extLst>
            <a:ext uri="{FF2B5EF4-FFF2-40B4-BE49-F238E27FC236}">
              <a16:creationId xmlns="" xmlns:a16="http://schemas.microsoft.com/office/drawing/2014/main" id="{00000000-0008-0000-2800-00000D000000}"/>
            </a:ext>
          </a:extLst>
        </xdr:cNvPr>
        <xdr:cNvSpPr/>
      </xdr:nvSpPr>
      <xdr:spPr>
        <a:xfrm>
          <a:off x="2124857" y="3015952"/>
          <a:ext cx="909696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BB4F98CA-AF03-4C4D-AC3D-16A83436232E}" type="TxLink">
            <a:rPr lang="en-US" sz="11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01.04.2025</a:t>
          </a:fld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11428</xdr:colOff>
      <xdr:row>9</xdr:row>
      <xdr:rowOff>114300</xdr:rowOff>
    </xdr:from>
    <xdr:to>
      <xdr:col>3</xdr:col>
      <xdr:colOff>95249</xdr:colOff>
      <xdr:row>9</xdr:row>
      <xdr:rowOff>474300</xdr:rowOff>
    </xdr:to>
    <xdr:sp macro="" textlink="КПЭбезЛьгот!#REF!">
      <xdr:nvSpPr>
        <xdr:cNvPr id="14" name="Прямоугольник: скругленные углы 13">
          <a:extLst>
            <a:ext uri="{FF2B5EF4-FFF2-40B4-BE49-F238E27FC236}">
              <a16:creationId xmlns="" xmlns:a16="http://schemas.microsoft.com/office/drawing/2014/main" id="{00000000-0008-0000-2800-00000E000000}"/>
            </a:ext>
          </a:extLst>
        </xdr:cNvPr>
        <xdr:cNvSpPr/>
      </xdr:nvSpPr>
      <xdr:spPr>
        <a:xfrm>
          <a:off x="2114548" y="3627120"/>
          <a:ext cx="895351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7A6653DE-D8CF-4058-BEAF-093040318077}" type="TxLink">
            <a:rPr lang="en-US" sz="11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01.10.2026</a:t>
          </a:fld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68579</xdr:colOff>
      <xdr:row>5</xdr:row>
      <xdr:rowOff>91440</xdr:rowOff>
    </xdr:from>
    <xdr:to>
      <xdr:col>6</xdr:col>
      <xdr:colOff>788579</xdr:colOff>
      <xdr:row>5</xdr:row>
      <xdr:rowOff>451440</xdr:rowOff>
    </xdr:to>
    <xdr:sp macro="" textlink="КПЭбезЛьгот!#REF!">
      <xdr:nvSpPr>
        <xdr:cNvPr id="16" name="Прямоугольник: скругленные углы 15">
          <a:extLst>
            <a:ext uri="{FF2B5EF4-FFF2-40B4-BE49-F238E27FC236}">
              <a16:creationId xmlns="" xmlns:a16="http://schemas.microsoft.com/office/drawing/2014/main" id="{00000000-0008-0000-2800-000010000000}"/>
            </a:ext>
          </a:extLst>
        </xdr:cNvPr>
        <xdr:cNvSpPr/>
      </xdr:nvSpPr>
      <xdr:spPr>
        <a:xfrm>
          <a:off x="14523719" y="1272540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9C8F51B1-EEEE-4DC3-A1C2-02D94F9EF116}" type="TxLink">
            <a:rPr lang="en-US" sz="14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32%</a:t>
          </a:fld>
          <a:endParaRPr lang="ru-RU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175260</xdr:colOff>
      <xdr:row>11</xdr:row>
      <xdr:rowOff>72390</xdr:rowOff>
    </xdr:from>
    <xdr:to>
      <xdr:col>7</xdr:col>
      <xdr:colOff>895260</xdr:colOff>
      <xdr:row>11</xdr:row>
      <xdr:rowOff>432390</xdr:rowOff>
    </xdr:to>
    <xdr:sp macro="" textlink="КПЭбезЛьгот!#REF!">
      <xdr:nvSpPr>
        <xdr:cNvPr id="18" name="Прямоугольник: скругленные углы 17">
          <a:extLst>
            <a:ext uri="{FF2B5EF4-FFF2-40B4-BE49-F238E27FC236}">
              <a16:creationId xmlns="" xmlns:a16="http://schemas.microsoft.com/office/drawing/2014/main" id="{00000000-0008-0000-2800-000012000000}"/>
            </a:ext>
          </a:extLst>
        </xdr:cNvPr>
        <xdr:cNvSpPr/>
      </xdr:nvSpPr>
      <xdr:spPr>
        <a:xfrm>
          <a:off x="15441930" y="4751070"/>
          <a:ext cx="720000" cy="3600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E78F93AC-658A-4E14-84B5-8C7313846AE4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40%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194310</xdr:colOff>
      <xdr:row>12</xdr:row>
      <xdr:rowOff>102870</xdr:rowOff>
    </xdr:from>
    <xdr:to>
      <xdr:col>7</xdr:col>
      <xdr:colOff>914310</xdr:colOff>
      <xdr:row>12</xdr:row>
      <xdr:rowOff>462870</xdr:rowOff>
    </xdr:to>
    <xdr:sp macro="" textlink="КПЭбезЛьгот!#REF!">
      <xdr:nvSpPr>
        <xdr:cNvPr id="19" name="Прямоугольник: скругленные углы 18">
          <a:extLst>
            <a:ext uri="{FF2B5EF4-FFF2-40B4-BE49-F238E27FC236}">
              <a16:creationId xmlns="" xmlns:a16="http://schemas.microsoft.com/office/drawing/2014/main" id="{00000000-0008-0000-2800-000013000000}"/>
            </a:ext>
          </a:extLst>
        </xdr:cNvPr>
        <xdr:cNvSpPr/>
      </xdr:nvSpPr>
      <xdr:spPr>
        <a:xfrm>
          <a:off x="15460980" y="5364480"/>
          <a:ext cx="720000" cy="3600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B9800A5D-1F71-4B87-9776-C552EC03BC4F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27%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182880</xdr:colOff>
      <xdr:row>13</xdr:row>
      <xdr:rowOff>91440</xdr:rowOff>
    </xdr:from>
    <xdr:to>
      <xdr:col>7</xdr:col>
      <xdr:colOff>902880</xdr:colOff>
      <xdr:row>13</xdr:row>
      <xdr:rowOff>451440</xdr:rowOff>
    </xdr:to>
    <xdr:sp macro="" textlink="КПЭбезЛьгот!#REF!">
      <xdr:nvSpPr>
        <xdr:cNvPr id="20" name="Прямоугольник: скругленные углы 19">
          <a:extLst>
            <a:ext uri="{FF2B5EF4-FFF2-40B4-BE49-F238E27FC236}">
              <a16:creationId xmlns="" xmlns:a16="http://schemas.microsoft.com/office/drawing/2014/main" id="{00000000-0008-0000-2800-000014000000}"/>
            </a:ext>
          </a:extLst>
        </xdr:cNvPr>
        <xdr:cNvSpPr/>
      </xdr:nvSpPr>
      <xdr:spPr>
        <a:xfrm>
          <a:off x="15449550" y="5935980"/>
          <a:ext cx="720000" cy="3600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E04D6D84-891D-4896-A92C-2AABF139A45C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27%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3859754</xdr:colOff>
      <xdr:row>0</xdr:row>
      <xdr:rowOff>74855</xdr:rowOff>
    </xdr:from>
    <xdr:to>
      <xdr:col>3</xdr:col>
      <xdr:colOff>4808279</xdr:colOff>
      <xdr:row>1</xdr:row>
      <xdr:rowOff>110802</xdr:rowOff>
    </xdr:to>
    <xdr:sp macro="" textlink="">
      <xdr:nvSpPr>
        <xdr:cNvPr id="22" name="Прямоугольник 2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800-000016000000}"/>
            </a:ext>
          </a:extLst>
        </xdr:cNvPr>
        <xdr:cNvSpPr/>
      </xdr:nvSpPr>
      <xdr:spPr>
        <a:xfrm>
          <a:off x="6774404" y="74855"/>
          <a:ext cx="948525" cy="268357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>
              <a:latin typeface="Times New Roman" panose="02020603050405020304" pitchFamily="18" charset="0"/>
              <a:cs typeface="Times New Roman" panose="02020603050405020304" pitchFamily="18" charset="0"/>
            </a:rPr>
            <a:t>Оглавление</a:t>
          </a:r>
        </a:p>
      </xdr:txBody>
    </xdr:sp>
    <xdr:clientData fPrintsWithSheet="0"/>
  </xdr:twoCellAnchor>
  <xdr:twoCellAnchor>
    <xdr:from>
      <xdr:col>3</xdr:col>
      <xdr:colOff>5015753</xdr:colOff>
      <xdr:row>0</xdr:row>
      <xdr:rowOff>76199</xdr:rowOff>
    </xdr:from>
    <xdr:to>
      <xdr:col>3</xdr:col>
      <xdr:colOff>5964278</xdr:colOff>
      <xdr:row>1</xdr:row>
      <xdr:rowOff>112146</xdr:rowOff>
    </xdr:to>
    <xdr:sp macro="" textlink="">
      <xdr:nvSpPr>
        <xdr:cNvPr id="25" name="Прямоугольник 24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2800-000019000000}"/>
            </a:ext>
          </a:extLst>
        </xdr:cNvPr>
        <xdr:cNvSpPr/>
      </xdr:nvSpPr>
      <xdr:spPr>
        <a:xfrm>
          <a:off x="7930403" y="76199"/>
          <a:ext cx="948525" cy="268357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>
              <a:latin typeface="Times New Roman" panose="02020603050405020304" pitchFamily="18" charset="0"/>
              <a:cs typeface="Times New Roman" panose="02020603050405020304" pitchFamily="18" charset="0"/>
            </a:rPr>
            <a:t>Структура</a:t>
          </a:r>
        </a:p>
      </xdr:txBody>
    </xdr:sp>
    <xdr:clientData fPrintsWithSheet="0"/>
  </xdr:twoCellAnchor>
  <xdr:twoCellAnchor>
    <xdr:from>
      <xdr:col>2</xdr:col>
      <xdr:colOff>24876</xdr:colOff>
      <xdr:row>5</xdr:row>
      <xdr:rowOff>104438</xdr:rowOff>
    </xdr:from>
    <xdr:to>
      <xdr:col>2</xdr:col>
      <xdr:colOff>744876</xdr:colOff>
      <xdr:row>5</xdr:row>
      <xdr:rowOff>464438</xdr:rowOff>
    </xdr:to>
    <xdr:sp macro="" textlink="">
      <xdr:nvSpPr>
        <xdr:cNvPr id="26" name="Прямоугольник: скругленные углы 25">
          <a:extLst>
            <a:ext uri="{FF2B5EF4-FFF2-40B4-BE49-F238E27FC236}">
              <a16:creationId xmlns="" xmlns:a16="http://schemas.microsoft.com/office/drawing/2014/main" id="{00000000-0008-0000-2800-00001A000000}"/>
            </a:ext>
          </a:extLst>
        </xdr:cNvPr>
        <xdr:cNvSpPr/>
      </xdr:nvSpPr>
      <xdr:spPr>
        <a:xfrm>
          <a:off x="2131582" y="1287779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ru-RU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0</a:t>
          </a:r>
          <a:r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6</xdr:col>
      <xdr:colOff>97490</xdr:colOff>
      <xdr:row>6</xdr:row>
      <xdr:rowOff>99957</xdr:rowOff>
    </xdr:from>
    <xdr:to>
      <xdr:col>7</xdr:col>
      <xdr:colOff>6185</xdr:colOff>
      <xdr:row>6</xdr:row>
      <xdr:rowOff>459957</xdr:rowOff>
    </xdr:to>
    <xdr:sp macro="" textlink="КПЭбезЛьгот!#REF!">
      <xdr:nvSpPr>
        <xdr:cNvPr id="27" name="Прямоугольник: скругленные углы 26">
          <a:extLst>
            <a:ext uri="{FF2B5EF4-FFF2-40B4-BE49-F238E27FC236}">
              <a16:creationId xmlns="" xmlns:a16="http://schemas.microsoft.com/office/drawing/2014/main" id="{00000000-0008-0000-2800-00001B000000}"/>
            </a:ext>
          </a:extLst>
        </xdr:cNvPr>
        <xdr:cNvSpPr/>
      </xdr:nvSpPr>
      <xdr:spPr>
        <a:xfrm>
          <a:off x="14552630" y="1863987"/>
          <a:ext cx="720225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63F72032-23F3-405E-B2EE-5BD3AF0DEE04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16 </a:t>
          </a:fld>
          <a:endParaRPr lang="ru-RU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84267</xdr:colOff>
      <xdr:row>14</xdr:row>
      <xdr:rowOff>114524</xdr:rowOff>
    </xdr:from>
    <xdr:to>
      <xdr:col>6</xdr:col>
      <xdr:colOff>804042</xdr:colOff>
      <xdr:row>14</xdr:row>
      <xdr:rowOff>474524</xdr:rowOff>
    </xdr:to>
    <xdr:sp macro="" textlink="КПЭ!#REF!">
      <xdr:nvSpPr>
        <xdr:cNvPr id="28" name="Прямоугольник: скругленные углы 27">
          <a:extLst>
            <a:ext uri="{FF2B5EF4-FFF2-40B4-BE49-F238E27FC236}">
              <a16:creationId xmlns="" xmlns:a16="http://schemas.microsoft.com/office/drawing/2014/main" id="{00000000-0008-0000-2800-00001C000000}"/>
            </a:ext>
          </a:extLst>
        </xdr:cNvPr>
        <xdr:cNvSpPr/>
      </xdr:nvSpPr>
      <xdr:spPr>
        <a:xfrm>
          <a:off x="14544338" y="6542218"/>
          <a:ext cx="719775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6788BC64-DB6C-459E-8BE1-E66057C9438C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5 </a:t>
          </a:fld>
          <a:endParaRPr lang="ru-RU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106679</xdr:colOff>
      <xdr:row>15</xdr:row>
      <xdr:rowOff>105559</xdr:rowOff>
    </xdr:from>
    <xdr:to>
      <xdr:col>7</xdr:col>
      <xdr:colOff>15149</xdr:colOff>
      <xdr:row>15</xdr:row>
      <xdr:rowOff>465559</xdr:rowOff>
    </xdr:to>
    <xdr:sp macro="" textlink="КПЭ!#REF!">
      <xdr:nvSpPr>
        <xdr:cNvPr id="29" name="Прямоугольник: скругленные углы 28">
          <a:extLst>
            <a:ext uri="{FF2B5EF4-FFF2-40B4-BE49-F238E27FC236}">
              <a16:creationId xmlns="" xmlns:a16="http://schemas.microsoft.com/office/drawing/2014/main" id="{00000000-0008-0000-2800-00001D000000}"/>
            </a:ext>
          </a:extLst>
        </xdr:cNvPr>
        <xdr:cNvSpPr/>
      </xdr:nvSpPr>
      <xdr:spPr>
        <a:xfrm>
          <a:off x="14561819" y="7115959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BE622B52-513F-4F19-B12C-08B7149EEAFA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6 </a:t>
          </a:fld>
          <a:endParaRPr lang="ru-RU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11</xdr:row>
      <xdr:rowOff>62753</xdr:rowOff>
    </xdr:from>
    <xdr:to>
      <xdr:col>2</xdr:col>
      <xdr:colOff>720000</xdr:colOff>
      <xdr:row>11</xdr:row>
      <xdr:rowOff>422753</xdr:rowOff>
    </xdr:to>
    <xdr:sp macro="" textlink="КПЭ!#REF!">
      <xdr:nvSpPr>
        <xdr:cNvPr id="31" name="Прямоугольник: скругленные углы 30">
          <a:extLst>
            <a:ext uri="{FF2B5EF4-FFF2-40B4-BE49-F238E27FC236}">
              <a16:creationId xmlns="" xmlns:a16="http://schemas.microsoft.com/office/drawing/2014/main" id="{00000000-0008-0000-2800-00001F000000}"/>
            </a:ext>
          </a:extLst>
        </xdr:cNvPr>
        <xdr:cNvSpPr/>
      </xdr:nvSpPr>
      <xdr:spPr>
        <a:xfrm>
          <a:off x="2106706" y="4742329"/>
          <a:ext cx="720000" cy="3600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A7884A1F-9966-4914-855A-120342673DD3}" type="TxLink">
            <a:rPr lang="en-US" sz="14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120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13447</xdr:colOff>
      <xdr:row>11</xdr:row>
      <xdr:rowOff>49306</xdr:rowOff>
    </xdr:from>
    <xdr:to>
      <xdr:col>2</xdr:col>
      <xdr:colOff>733447</xdr:colOff>
      <xdr:row>11</xdr:row>
      <xdr:rowOff>409306</xdr:rowOff>
    </xdr:to>
    <xdr:sp macro="" textlink="КПЭбезЛьгот!#REF!">
      <xdr:nvSpPr>
        <xdr:cNvPr id="32" name="Прямоугольник: скругленные углы 31">
          <a:extLst>
            <a:ext uri="{FF2B5EF4-FFF2-40B4-BE49-F238E27FC236}">
              <a16:creationId xmlns="" xmlns:a16="http://schemas.microsoft.com/office/drawing/2014/main" id="{00000000-0008-0000-2800-000020000000}"/>
            </a:ext>
          </a:extLst>
        </xdr:cNvPr>
        <xdr:cNvSpPr/>
      </xdr:nvSpPr>
      <xdr:spPr>
        <a:xfrm>
          <a:off x="2120153" y="4728882"/>
          <a:ext cx="720000" cy="3600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4851D4E8-52F5-428A-8908-ACBF1E7B76C8}" type="TxLink">
            <a:rPr lang="en-US" sz="14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120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96595</xdr:colOff>
      <xdr:row>11</xdr:row>
      <xdr:rowOff>95027</xdr:rowOff>
    </xdr:from>
    <xdr:to>
      <xdr:col>7</xdr:col>
      <xdr:colOff>5290</xdr:colOff>
      <xdr:row>11</xdr:row>
      <xdr:rowOff>455027</xdr:rowOff>
    </xdr:to>
    <xdr:sp macro="" textlink="КПЭбезЛьгот!#REF!">
      <xdr:nvSpPr>
        <xdr:cNvPr id="36" name="Прямоугольник: скругленные углы 35">
          <a:extLst>
            <a:ext uri="{FF2B5EF4-FFF2-40B4-BE49-F238E27FC236}">
              <a16:creationId xmlns="" xmlns:a16="http://schemas.microsoft.com/office/drawing/2014/main" id="{00000000-0008-0000-2800-000024000000}"/>
            </a:ext>
          </a:extLst>
        </xdr:cNvPr>
        <xdr:cNvSpPr/>
      </xdr:nvSpPr>
      <xdr:spPr>
        <a:xfrm>
          <a:off x="14556666" y="4774603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7CDE9662-4E89-4938-8559-A454C98E982D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371 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78666</xdr:colOff>
      <xdr:row>12</xdr:row>
      <xdr:rowOff>103991</xdr:rowOff>
    </xdr:from>
    <xdr:to>
      <xdr:col>6</xdr:col>
      <xdr:colOff>798666</xdr:colOff>
      <xdr:row>12</xdr:row>
      <xdr:rowOff>463991</xdr:rowOff>
    </xdr:to>
    <xdr:sp macro="" textlink="КПЭбезЛьгот!#REF!">
      <xdr:nvSpPr>
        <xdr:cNvPr id="37" name="Прямоугольник: скругленные углы 36">
          <a:extLst>
            <a:ext uri="{FF2B5EF4-FFF2-40B4-BE49-F238E27FC236}">
              <a16:creationId xmlns="" xmlns:a16="http://schemas.microsoft.com/office/drawing/2014/main" id="{00000000-0008-0000-2800-000025000000}"/>
            </a:ext>
          </a:extLst>
        </xdr:cNvPr>
        <xdr:cNvSpPr/>
      </xdr:nvSpPr>
      <xdr:spPr>
        <a:xfrm>
          <a:off x="14538737" y="5366273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1539BE17-BC81-434F-89E2-9CE4B706B644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250 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60737</xdr:colOff>
      <xdr:row>13</xdr:row>
      <xdr:rowOff>117438</xdr:rowOff>
    </xdr:from>
    <xdr:to>
      <xdr:col>6</xdr:col>
      <xdr:colOff>780737</xdr:colOff>
      <xdr:row>13</xdr:row>
      <xdr:rowOff>477438</xdr:rowOff>
    </xdr:to>
    <xdr:sp macro="" textlink="КПЭбезЛьгот!#REF!">
      <xdr:nvSpPr>
        <xdr:cNvPr id="38" name="Прямоугольник: скругленные углы 37">
          <a:extLst>
            <a:ext uri="{FF2B5EF4-FFF2-40B4-BE49-F238E27FC236}">
              <a16:creationId xmlns="" xmlns:a16="http://schemas.microsoft.com/office/drawing/2014/main" id="{00000000-0008-0000-2800-000026000000}"/>
            </a:ext>
          </a:extLst>
        </xdr:cNvPr>
        <xdr:cNvSpPr/>
      </xdr:nvSpPr>
      <xdr:spPr>
        <a:xfrm>
          <a:off x="14520808" y="5962426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1DC8EBDC-88F4-4C4C-84AC-BB16D3DE7F79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407 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354105</xdr:colOff>
      <xdr:row>4</xdr:row>
      <xdr:rowOff>116541</xdr:rowOff>
    </xdr:from>
    <xdr:to>
      <xdr:col>3</xdr:col>
      <xdr:colOff>4899212</xdr:colOff>
      <xdr:row>9</xdr:row>
      <xdr:rowOff>412376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2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304017</xdr:colOff>
      <xdr:row>10</xdr:row>
      <xdr:rowOff>0</xdr:rowOff>
    </xdr:from>
    <xdr:to>
      <xdr:col>3</xdr:col>
      <xdr:colOff>4903694</xdr:colOff>
      <xdr:row>14</xdr:row>
      <xdr:rowOff>300318</xdr:rowOff>
    </xdr:to>
    <xdr:graphicFrame macro="">
      <xdr:nvGraphicFramePr>
        <xdr:cNvPr id="11" name="Диаграмма 10">
          <a:extLst>
            <a:ext uri="{FF2B5EF4-FFF2-40B4-BE49-F238E27FC236}">
              <a16:creationId xmlns="" xmlns:a16="http://schemas.microsoft.com/office/drawing/2014/main" id="{00000000-0008-0000-2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268942</xdr:colOff>
      <xdr:row>14</xdr:row>
      <xdr:rowOff>520178</xdr:rowOff>
    </xdr:from>
    <xdr:to>
      <xdr:col>3</xdr:col>
      <xdr:colOff>4894730</xdr:colOff>
      <xdr:row>19</xdr:row>
      <xdr:rowOff>416858</xdr:rowOff>
    </xdr:to>
    <xdr:graphicFrame macro="">
      <xdr:nvGraphicFramePr>
        <xdr:cNvPr id="12" name="Диаграмма 11">
          <a:extLst>
            <a:ext uri="{FF2B5EF4-FFF2-40B4-BE49-F238E27FC236}">
              <a16:creationId xmlns="" xmlns:a16="http://schemas.microsoft.com/office/drawing/2014/main" id="{00000000-0008-0000-2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5051612</xdr:colOff>
      <xdr:row>10</xdr:row>
      <xdr:rowOff>4482</xdr:rowOff>
    </xdr:from>
    <xdr:to>
      <xdr:col>3</xdr:col>
      <xdr:colOff>9686364</xdr:colOff>
      <xdr:row>14</xdr:row>
      <xdr:rowOff>349624</xdr:rowOff>
    </xdr:to>
    <xdr:graphicFrame macro="">
      <xdr:nvGraphicFramePr>
        <xdr:cNvPr id="15" name="Диаграмма 14">
          <a:extLst>
            <a:ext uri="{FF2B5EF4-FFF2-40B4-BE49-F238E27FC236}">
              <a16:creationId xmlns="" xmlns:a16="http://schemas.microsoft.com/office/drawing/2014/main" id="{00000000-0008-0000-28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5020235</xdr:colOff>
      <xdr:row>14</xdr:row>
      <xdr:rowOff>506506</xdr:rowOff>
    </xdr:from>
    <xdr:to>
      <xdr:col>3</xdr:col>
      <xdr:colOff>9722223</xdr:colOff>
      <xdr:row>19</xdr:row>
      <xdr:rowOff>443752</xdr:rowOff>
    </xdr:to>
    <xdr:graphicFrame macro="">
      <xdr:nvGraphicFramePr>
        <xdr:cNvPr id="17" name="Диаграмма 16">
          <a:extLst>
            <a:ext uri="{FF2B5EF4-FFF2-40B4-BE49-F238E27FC236}">
              <a16:creationId xmlns="" xmlns:a16="http://schemas.microsoft.com/office/drawing/2014/main" id="{00000000-0008-0000-28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5029200</xdr:colOff>
      <xdr:row>4</xdr:row>
      <xdr:rowOff>125506</xdr:rowOff>
    </xdr:from>
    <xdr:to>
      <xdr:col>3</xdr:col>
      <xdr:colOff>9654988</xdr:colOff>
      <xdr:row>9</xdr:row>
      <xdr:rowOff>407894</xdr:rowOff>
    </xdr:to>
    <xdr:graphicFrame macro="">
      <xdr:nvGraphicFramePr>
        <xdr:cNvPr id="23" name="Диаграмма 22">
          <a:extLst>
            <a:ext uri="{FF2B5EF4-FFF2-40B4-BE49-F238E27FC236}">
              <a16:creationId xmlns="" xmlns:a16="http://schemas.microsoft.com/office/drawing/2014/main" id="{00000000-0008-0000-28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0.35807</cdr:x>
      <cdr:y>0.48426</cdr:y>
    </cdr:from>
    <cdr:to>
      <cdr:x>0.5039</cdr:x>
      <cdr:y>0.5735</cdr:y>
    </cdr:to>
    <cdr:sp macro="" textlink="КПЭбезЛьгот!#REF!">
      <cdr:nvSpPr>
        <cdr:cNvPr id="2" name="Прямоугольник 1">
          <a:extLst xmlns:a="http://schemas.openxmlformats.org/drawingml/2006/main">
            <a:ext uri="{FF2B5EF4-FFF2-40B4-BE49-F238E27FC236}">
              <a16:creationId xmlns="" xmlns:a16="http://schemas.microsoft.com/office/drawing/2014/main" id="{BDC6B7E3-CE5E-5567-F2DE-D850DFAF94A5}"/>
            </a:ext>
          </a:extLst>
        </cdr:cNvPr>
        <cdr:cNvSpPr/>
      </cdr:nvSpPr>
      <cdr:spPr>
        <a:xfrm xmlns:a="http://schemas.openxmlformats.org/drawingml/2006/main">
          <a:off x="1934480" y="1594090"/>
          <a:ext cx="787882" cy="2937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fld id="{E1238F66-C332-4308-AA40-4420A5ABE758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336 </a:t>
          </a:fld>
          <a:endParaRPr lang="ru-RU" sz="1600"/>
        </a:p>
      </cdr:txBody>
    </cdr:sp>
  </cdr:relSizeAnchor>
  <cdr:relSizeAnchor xmlns:cdr="http://schemas.openxmlformats.org/drawingml/2006/chartDrawing">
    <cdr:from>
      <cdr:x>0.34608</cdr:x>
      <cdr:y>0.49815</cdr:y>
    </cdr:from>
    <cdr:to>
      <cdr:x>0.49191</cdr:x>
      <cdr:y>0.58739</cdr:y>
    </cdr:to>
    <cdr:sp macro="" textlink="КПЭбезЛьгот!#REF!">
      <cdr:nvSpPr>
        <cdr:cNvPr id="3" name="Прямоугольник 1">
          <a:extLst xmlns:a="http://schemas.openxmlformats.org/drawingml/2006/main">
            <a:ext uri="{FF2B5EF4-FFF2-40B4-BE49-F238E27FC236}">
              <a16:creationId xmlns="" xmlns:a16="http://schemas.microsoft.com/office/drawing/2014/main" id="{BDC6B7E3-CE5E-5567-F2DE-D850DFAF94A5}"/>
            </a:ext>
          </a:extLst>
        </cdr:cNvPr>
        <cdr:cNvSpPr/>
      </cdr:nvSpPr>
      <cdr:spPr>
        <a:xfrm xmlns:a="http://schemas.openxmlformats.org/drawingml/2006/main">
          <a:off x="1869730" y="1639826"/>
          <a:ext cx="787857" cy="29376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fld id="{E6DC316D-5DCD-43BC-A9AB-AEC2A13E8316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336 </a:t>
          </a:fld>
          <a:endParaRPr lang="ru-RU" sz="14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vrilovVA\Downloads\&#1055;&#1072;&#1089;&#1087;&#1086;&#1088;&#1090;%20&#1087;&#1088;&#1086;&#1077;&#1082;&#1090;&#1072;_&#1070;&#1085;&#1080;&#1074;&#1077;&#1088;&#1089;-&#1057;&#1086;&#1092;&#1090;_2025%20_&#1089;%20&#1092;&#1086;&#1088;&#1084;&#1091;&#1083;&#1072;&#1084;&#1080;%20&#1059;&#1057;&#10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_ФМ_резидент"/>
      <sheetName val="Оглавление"/>
      <sheetName val="Оценка_инвестора"/>
      <sheetName val="Макро"/>
      <sheetName val="WACC"/>
      <sheetName val="Исходные"/>
      <sheetName val="КПЭ"/>
      <sheetName val="ИтогТаблицы"/>
      <sheetName val="Дашборд_ИтогТабл"/>
      <sheetName val="Дашборд_Основной"/>
      <sheetName val="БДР"/>
      <sheetName val="БДДС"/>
      <sheetName val="Баланс"/>
      <sheetName val="НалогСвод"/>
      <sheetName val="Чувствительность"/>
      <sheetName val="Дашборд_налоги"/>
      <sheetName val="Инвестиции"/>
      <sheetName val="Финансы"/>
      <sheetName val="Выручка"/>
      <sheetName val="Себестоимость"/>
      <sheetName val="Персонал"/>
      <sheetName val="Ресурсы"/>
      <sheetName val="ОбщПрРасходы"/>
      <sheetName val="АдмРасходы"/>
      <sheetName val="ПрочДоходы"/>
      <sheetName val="ПрочРасходы"/>
      <sheetName val="НДС"/>
      <sheetName val="НалПрибыль"/>
      <sheetName val="НалЗемля"/>
      <sheetName val="НалИмущество"/>
      <sheetName val="УСН"/>
      <sheetName val="КПЭбезЛьгот"/>
      <sheetName val="БДРбезЛьгот"/>
      <sheetName val="БДДСбезЛьгот"/>
      <sheetName val="БалансбезЛьгот"/>
      <sheetName val="Контроль"/>
      <sheetName val="Легенда"/>
      <sheetName val="Шаблон"/>
      <sheetName val="Структура"/>
      <sheetName val="Описание"/>
      <sheetName val="Дашборд_2"/>
      <sheetName val="Лист1"/>
    </sheetNames>
    <sheetDataSet>
      <sheetData sheetId="0"/>
      <sheetData sheetId="1"/>
      <sheetData sheetId="2"/>
      <sheetData sheetId="3">
        <row r="6">
          <cell r="G6">
            <v>1.04</v>
          </cell>
          <cell r="H6">
            <v>1.04</v>
          </cell>
          <cell r="I6">
            <v>1.04</v>
          </cell>
          <cell r="J6">
            <v>1.04</v>
          </cell>
          <cell r="K6">
            <v>1.04</v>
          </cell>
          <cell r="L6">
            <v>1.04</v>
          </cell>
          <cell r="M6">
            <v>1.04</v>
          </cell>
          <cell r="N6">
            <v>1.04</v>
          </cell>
          <cell r="O6">
            <v>1.04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pravo.gov.ru/proxy/ips/?docbody=&amp;nd=102067058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www.cbr.ru/about_br/publ/ondkp/on_2025_2027/" TargetMode="External"/><Relationship Id="rId7" Type="http://schemas.openxmlformats.org/officeDocument/2006/relationships/hyperlink" Target="https://www.nalog.gov.ru/html/sites/www.rn70.nalog.ru/Reshen/148OZ_072023.rtf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www.cbr.ru/about_br/publ/ondkp/on_2025_2027/" TargetMode="External"/><Relationship Id="rId1" Type="http://schemas.openxmlformats.org/officeDocument/2006/relationships/hyperlink" Target="https://invest.economy.gov.ru/osobye-ehkonomicheskie-zony" TargetMode="External"/><Relationship Id="rId6" Type="http://schemas.openxmlformats.org/officeDocument/2006/relationships/hyperlink" Target="https://www.nalog.gov.ru/html/sites/www.rn70.nalog.ru/Zakon%20TO/ZO51_022023.pdf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nalog.gov.ru/rn70/about_fts/docs/4344043/" TargetMode="External"/><Relationship Id="rId10" Type="http://schemas.openxmlformats.org/officeDocument/2006/relationships/hyperlink" Target="https://70.rosstat.gov.ru/folder/32179" TargetMode="External"/><Relationship Id="rId4" Type="http://schemas.openxmlformats.org/officeDocument/2006/relationships/hyperlink" Target="https://depeconom.tomsk.gov.ru/files/front/download?id=434734" TargetMode="External"/><Relationship Id="rId9" Type="http://schemas.openxmlformats.org/officeDocument/2006/relationships/hyperlink" Target="http://publication.pravo.gov.ru/file/pdf?eoNumber=000120240722003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26" Type="http://schemas.openxmlformats.org/officeDocument/2006/relationships/ctrlProp" Target="../ctrlProps/ctrlProp32.xml"/><Relationship Id="rId3" Type="http://schemas.openxmlformats.org/officeDocument/2006/relationships/drawing" Target="../drawings/drawing42.xml"/><Relationship Id="rId21" Type="http://schemas.openxmlformats.org/officeDocument/2006/relationships/ctrlProp" Target="../ctrlProps/ctrlProp27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5" Type="http://schemas.openxmlformats.org/officeDocument/2006/relationships/ctrlProp" Target="../ctrlProps/ctrlProp31.xml"/><Relationship Id="rId2" Type="http://schemas.openxmlformats.org/officeDocument/2006/relationships/printerSettings" Target="../printerSettings/printerSettings36.bin"/><Relationship Id="rId16" Type="http://schemas.openxmlformats.org/officeDocument/2006/relationships/ctrlProp" Target="../ctrlProps/ctrlProp22.xml"/><Relationship Id="rId20" Type="http://schemas.openxmlformats.org/officeDocument/2006/relationships/ctrlProp" Target="../ctrlProps/ctrlProp26.xml"/><Relationship Id="rId29" Type="http://schemas.openxmlformats.org/officeDocument/2006/relationships/ctrlProp" Target="../ctrlProps/ctrlProp35.xml"/><Relationship Id="rId1" Type="http://schemas.openxmlformats.org/officeDocument/2006/relationships/hyperlink" Target="http://publication.pravo.gov.ru/document/0001202402150022?ysclid=ltr7u2qhku93252825" TargetMode="External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24" Type="http://schemas.openxmlformats.org/officeDocument/2006/relationships/ctrlProp" Target="../ctrlProps/ctrlProp30.xml"/><Relationship Id="rId5" Type="http://schemas.openxmlformats.org/officeDocument/2006/relationships/vmlDrawing" Target="../drawings/vmlDrawing35.vml"/><Relationship Id="rId15" Type="http://schemas.openxmlformats.org/officeDocument/2006/relationships/ctrlProp" Target="../ctrlProps/ctrlProp21.xml"/><Relationship Id="rId23" Type="http://schemas.openxmlformats.org/officeDocument/2006/relationships/ctrlProp" Target="../ctrlProps/ctrlProp29.xml"/><Relationship Id="rId28" Type="http://schemas.openxmlformats.org/officeDocument/2006/relationships/ctrlProp" Target="../ctrlProps/ctrlProp34.xml"/><Relationship Id="rId10" Type="http://schemas.openxmlformats.org/officeDocument/2006/relationships/ctrlProp" Target="../ctrlProps/ctrlProp16.xml"/><Relationship Id="rId19" Type="http://schemas.openxmlformats.org/officeDocument/2006/relationships/ctrlProp" Target="../ctrlProps/ctrlProp25.xml"/><Relationship Id="rId4" Type="http://schemas.openxmlformats.org/officeDocument/2006/relationships/vmlDrawing" Target="../drawings/vmlDrawing34.v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Relationship Id="rId22" Type="http://schemas.openxmlformats.org/officeDocument/2006/relationships/ctrlProp" Target="../ctrlProps/ctrlProp28.xml"/><Relationship Id="rId27" Type="http://schemas.openxmlformats.org/officeDocument/2006/relationships/ctrlProp" Target="../ctrlProps/ctrlProp33.xml"/><Relationship Id="rId30" Type="http://schemas.openxmlformats.org/officeDocument/2006/relationships/ctrlProp" Target="../ctrlProps/ctrlProp3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s://cbr.ru/statistics/ddkp/" TargetMode="External"/><Relationship Id="rId4" Type="http://schemas.openxmlformats.org/officeDocument/2006/relationships/vmlDrawing" Target="../drawings/vmlDrawing36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26" Type="http://schemas.openxmlformats.org/officeDocument/2006/relationships/ctrlProp" Target="../ctrlProps/ctrlProp58.xml"/><Relationship Id="rId3" Type="http://schemas.openxmlformats.org/officeDocument/2006/relationships/vmlDrawing" Target="../drawings/vmlDrawing39.vml"/><Relationship Id="rId21" Type="http://schemas.openxmlformats.org/officeDocument/2006/relationships/ctrlProp" Target="../ctrlProps/ctrlProp53.x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2" Type="http://schemas.openxmlformats.org/officeDocument/2006/relationships/drawing" Target="../drawings/drawing46.xml"/><Relationship Id="rId16" Type="http://schemas.openxmlformats.org/officeDocument/2006/relationships/ctrlProp" Target="../ctrlProps/ctrlProp48.xml"/><Relationship Id="rId20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40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10" Type="http://schemas.openxmlformats.org/officeDocument/2006/relationships/ctrlProp" Target="../ctrlProps/ctrlProp42.xml"/><Relationship Id="rId19" Type="http://schemas.openxmlformats.org/officeDocument/2006/relationships/ctrlProp" Target="../ctrlProps/ctrlProp51.xml"/><Relationship Id="rId4" Type="http://schemas.openxmlformats.org/officeDocument/2006/relationships/vmlDrawing" Target="../drawings/vmlDrawing40.v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pageSetUpPr fitToPage="1"/>
  </sheetPr>
  <dimension ref="A1:G372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6" sqref="C96:D96"/>
    </sheetView>
  </sheetViews>
  <sheetFormatPr defaultColWidth="0" defaultRowHeight="15" zeroHeight="1"/>
  <cols>
    <col min="1" max="1" width="8.85546875" customWidth="1"/>
    <col min="2" max="2" width="83.140625" customWidth="1"/>
    <col min="3" max="4" width="28.5703125" customWidth="1"/>
    <col min="5" max="5" width="9.42578125" customWidth="1"/>
    <col min="6" max="7" width="0" hidden="1" customWidth="1"/>
    <col min="8" max="16384" width="8.85546875" hidden="1"/>
  </cols>
  <sheetData>
    <row r="1" spans="1:5">
      <c r="A1" s="71"/>
      <c r="B1" s="71"/>
      <c r="C1" s="71"/>
      <c r="D1" s="71"/>
      <c r="E1" s="71"/>
    </row>
    <row r="2" spans="1:5" ht="19.5" customHeight="1">
      <c r="A2" s="71"/>
      <c r="B2" s="71"/>
      <c r="C2" s="71"/>
      <c r="D2" s="71"/>
      <c r="E2" s="71"/>
    </row>
    <row r="3" spans="1:5" ht="25.5" customHeight="1">
      <c r="A3" s="893" t="s">
        <v>1048</v>
      </c>
      <c r="B3" s="893"/>
      <c r="C3" s="73"/>
      <c r="D3" s="71"/>
      <c r="E3" s="71"/>
    </row>
    <row r="4" spans="1:5" ht="6.6" customHeight="1">
      <c r="A4" s="72"/>
      <c r="B4" s="72"/>
      <c r="C4" s="74"/>
      <c r="D4" s="72"/>
      <c r="E4" s="72"/>
    </row>
    <row r="5" spans="1:5" ht="60">
      <c r="B5" s="71"/>
      <c r="C5" s="71"/>
      <c r="D5" s="164" t="s">
        <v>943</v>
      </c>
    </row>
    <row r="6" spans="1:5" ht="37.5" customHeight="1">
      <c r="A6" s="708"/>
      <c r="B6" s="939" t="s">
        <v>885</v>
      </c>
      <c r="C6" s="940"/>
      <c r="D6" s="708"/>
    </row>
    <row r="7" spans="1:5" ht="46.5" customHeight="1" thickBot="1">
      <c r="A7" s="708"/>
      <c r="B7" s="946" t="s">
        <v>1234</v>
      </c>
      <c r="C7" s="947"/>
      <c r="D7" s="708"/>
    </row>
    <row r="8" spans="1:5" ht="15.75">
      <c r="A8" s="708"/>
      <c r="B8" s="941" t="s">
        <v>886</v>
      </c>
      <c r="C8" s="942"/>
      <c r="D8" s="708"/>
    </row>
    <row r="9" spans="1:5"/>
    <row r="10" spans="1:5"/>
    <row r="11" spans="1:5" ht="47.25" customHeight="1">
      <c r="A11" s="894" t="s">
        <v>945</v>
      </c>
      <c r="B11" s="894"/>
      <c r="C11" s="894"/>
      <c r="D11" s="894"/>
    </row>
    <row r="12" spans="1:5" ht="15.75">
      <c r="A12" s="943" t="s">
        <v>887</v>
      </c>
      <c r="B12" s="943"/>
      <c r="C12" s="943"/>
      <c r="D12" s="943"/>
    </row>
    <row r="13" spans="1:5" s="709" customFormat="1" ht="75">
      <c r="A13" s="711">
        <v>1</v>
      </c>
      <c r="B13" s="713" t="s">
        <v>888</v>
      </c>
      <c r="C13" s="944"/>
      <c r="D13" s="944"/>
    </row>
    <row r="14" spans="1:5" s="709" customFormat="1" ht="18.75">
      <c r="A14" s="711">
        <v>2</v>
      </c>
      <c r="B14" s="713" t="s">
        <v>889</v>
      </c>
      <c r="C14" s="937"/>
      <c r="D14" s="937"/>
    </row>
    <row r="15" spans="1:5" s="709" customFormat="1" ht="56.25">
      <c r="A15" s="711">
        <v>3</v>
      </c>
      <c r="B15" s="713" t="s">
        <v>890</v>
      </c>
      <c r="C15" s="930"/>
      <c r="D15" s="930"/>
    </row>
    <row r="16" spans="1:5" s="709" customFormat="1" ht="112.5">
      <c r="A16" s="711">
        <v>4</v>
      </c>
      <c r="B16" s="713" t="s">
        <v>891</v>
      </c>
      <c r="C16" s="937"/>
      <c r="D16" s="937"/>
    </row>
    <row r="17" spans="1:4" s="709" customFormat="1" ht="56.25">
      <c r="A17" s="711">
        <v>5</v>
      </c>
      <c r="B17" s="713" t="s">
        <v>892</v>
      </c>
      <c r="C17" s="938"/>
      <c r="D17" s="938"/>
    </row>
    <row r="18" spans="1:4" s="709" customFormat="1" ht="37.5">
      <c r="A18" s="895">
        <v>6</v>
      </c>
      <c r="B18" s="713" t="s">
        <v>893</v>
      </c>
      <c r="C18" s="934"/>
      <c r="D18" s="934"/>
    </row>
    <row r="19" spans="1:4" s="709" customFormat="1" ht="37.5">
      <c r="A19" s="895"/>
      <c r="B19" s="713" t="s">
        <v>894</v>
      </c>
      <c r="C19" s="934" t="s">
        <v>1129</v>
      </c>
      <c r="D19" s="934"/>
    </row>
    <row r="20" spans="1:4" s="709" customFormat="1" ht="18.75">
      <c r="A20" s="895"/>
      <c r="B20" s="713" t="s">
        <v>895</v>
      </c>
      <c r="C20" s="934"/>
      <c r="D20" s="934"/>
    </row>
    <row r="21" spans="1:4" s="709" customFormat="1" ht="18.75">
      <c r="A21" s="895"/>
      <c r="B21" s="713" t="s">
        <v>896</v>
      </c>
      <c r="C21" s="934"/>
      <c r="D21" s="934"/>
    </row>
    <row r="22" spans="1:4" s="709" customFormat="1" ht="37.5">
      <c r="A22" s="895">
        <v>7</v>
      </c>
      <c r="B22" s="713" t="s">
        <v>897</v>
      </c>
      <c r="C22" s="934"/>
      <c r="D22" s="934"/>
    </row>
    <row r="23" spans="1:4" s="709" customFormat="1" ht="37.5">
      <c r="A23" s="895"/>
      <c r="B23" s="713" t="s">
        <v>898</v>
      </c>
      <c r="C23" s="934"/>
      <c r="D23" s="934"/>
    </row>
    <row r="24" spans="1:4" s="709" customFormat="1" ht="18.75">
      <c r="A24" s="895"/>
      <c r="B24" s="713" t="s">
        <v>895</v>
      </c>
      <c r="C24" s="945"/>
      <c r="D24" s="934"/>
    </row>
    <row r="25" spans="1:4" s="709" customFormat="1" ht="18.75">
      <c r="A25" s="895"/>
      <c r="B25" s="713" t="s">
        <v>896</v>
      </c>
      <c r="C25" s="934"/>
      <c r="D25" s="934"/>
    </row>
    <row r="26" spans="1:4" s="709" customFormat="1" ht="35.25" customHeight="1">
      <c r="A26" s="894" t="s">
        <v>899</v>
      </c>
      <c r="B26" s="894"/>
      <c r="C26" s="894"/>
      <c r="D26" s="894"/>
    </row>
    <row r="27" spans="1:4" s="709" customFormat="1" ht="54" customHeight="1">
      <c r="A27" s="711">
        <v>1</v>
      </c>
      <c r="B27" s="713" t="s">
        <v>900</v>
      </c>
      <c r="C27" s="934" t="str">
        <f>B7</f>
        <v>Разработка, производство, модернизация и реализация …</v>
      </c>
      <c r="D27" s="934"/>
    </row>
    <row r="28" spans="1:4" s="709" customFormat="1" ht="318" customHeight="1">
      <c r="A28" s="711">
        <v>2</v>
      </c>
      <c r="B28" s="713" t="s">
        <v>901</v>
      </c>
      <c r="C28" s="935"/>
      <c r="D28" s="936"/>
    </row>
    <row r="29" spans="1:4" s="709" customFormat="1" ht="129.75" customHeight="1">
      <c r="A29" s="711">
        <v>3</v>
      </c>
      <c r="B29" s="713" t="s">
        <v>902</v>
      </c>
      <c r="C29" s="934"/>
      <c r="D29" s="934"/>
    </row>
    <row r="30" spans="1:4" s="709" customFormat="1" ht="297.75" customHeight="1">
      <c r="A30" s="711">
        <v>4</v>
      </c>
      <c r="B30" s="713" t="s">
        <v>903</v>
      </c>
      <c r="C30" s="931"/>
      <c r="D30" s="932"/>
    </row>
    <row r="31" spans="1:4" s="709" customFormat="1" ht="297.75" customHeight="1">
      <c r="A31" s="711">
        <v>5</v>
      </c>
      <c r="B31" s="713" t="s">
        <v>904</v>
      </c>
      <c r="C31" s="931"/>
      <c r="D31" s="932"/>
    </row>
    <row r="32" spans="1:4" s="709" customFormat="1" ht="253.5" customHeight="1">
      <c r="A32" s="711">
        <v>6</v>
      </c>
      <c r="B32" s="713" t="s">
        <v>905</v>
      </c>
      <c r="C32" s="931" t="s">
        <v>1130</v>
      </c>
      <c r="D32" s="932"/>
    </row>
    <row r="33" spans="1:4" s="709" customFormat="1" ht="198" customHeight="1">
      <c r="A33" s="895">
        <v>7</v>
      </c>
      <c r="B33" s="713" t="s">
        <v>906</v>
      </c>
      <c r="C33" s="931"/>
      <c r="D33" s="932"/>
    </row>
    <row r="34" spans="1:4" s="709" customFormat="1" ht="306.75" customHeight="1">
      <c r="A34" s="895"/>
      <c r="B34" s="713" t="s">
        <v>907</v>
      </c>
      <c r="C34" s="931"/>
      <c r="D34" s="932"/>
    </row>
    <row r="35" spans="1:4" s="709" customFormat="1" ht="75">
      <c r="A35" s="711">
        <v>8</v>
      </c>
      <c r="B35" s="713" t="s">
        <v>908</v>
      </c>
      <c r="C35" s="933"/>
      <c r="D35" s="932"/>
    </row>
    <row r="36" spans="1:4" s="709" customFormat="1" ht="18.75">
      <c r="A36" s="895">
        <v>9</v>
      </c>
      <c r="B36" s="713" t="s">
        <v>909</v>
      </c>
      <c r="C36" s="930" t="s">
        <v>1131</v>
      </c>
      <c r="D36" s="930"/>
    </row>
    <row r="37" spans="1:4" s="709" customFormat="1" ht="18.75">
      <c r="A37" s="895"/>
      <c r="B37" s="713" t="s">
        <v>907</v>
      </c>
      <c r="C37" s="930" t="s">
        <v>134</v>
      </c>
      <c r="D37" s="930"/>
    </row>
    <row r="38" spans="1:4" s="709" customFormat="1" ht="18.75">
      <c r="A38" s="711">
        <v>10</v>
      </c>
      <c r="B38" s="713" t="s">
        <v>910</v>
      </c>
      <c r="C38" s="930" t="s">
        <v>1132</v>
      </c>
      <c r="D38" s="930"/>
    </row>
    <row r="39" spans="1:4" s="709" customFormat="1" ht="37.5">
      <c r="A39" s="711">
        <v>11</v>
      </c>
      <c r="B39" s="713" t="s">
        <v>911</v>
      </c>
      <c r="C39" s="930" t="s">
        <v>1133</v>
      </c>
      <c r="D39" s="930"/>
    </row>
    <row r="40" spans="1:4" s="709" customFormat="1" ht="37.5">
      <c r="A40" s="711">
        <v>12</v>
      </c>
      <c r="B40" s="713" t="s">
        <v>912</v>
      </c>
      <c r="C40" s="930" t="s">
        <v>1134</v>
      </c>
      <c r="D40" s="930"/>
    </row>
    <row r="41" spans="1:4" s="709" customFormat="1" ht="20.25">
      <c r="A41" s="894" t="s">
        <v>913</v>
      </c>
      <c r="B41" s="894"/>
      <c r="C41" s="894"/>
      <c r="D41" s="894"/>
    </row>
    <row r="42" spans="1:4" s="709" customFormat="1" ht="18.75">
      <c r="A42" s="711">
        <v>1</v>
      </c>
      <c r="B42" s="713" t="s">
        <v>914</v>
      </c>
      <c r="C42" s="926" t="s">
        <v>1111</v>
      </c>
      <c r="D42" s="926"/>
    </row>
    <row r="43" spans="1:4" s="709" customFormat="1" ht="18.75">
      <c r="A43" s="711">
        <v>2</v>
      </c>
      <c r="B43" s="713" t="s">
        <v>915</v>
      </c>
      <c r="C43" s="928" t="s">
        <v>1112</v>
      </c>
      <c r="D43" s="929"/>
    </row>
    <row r="44" spans="1:4" s="709" customFormat="1" ht="72.75" customHeight="1">
      <c r="A44" s="711">
        <v>3</v>
      </c>
      <c r="B44" s="713" t="s">
        <v>916</v>
      </c>
      <c r="C44" s="928" t="s">
        <v>1113</v>
      </c>
      <c r="D44" s="929"/>
    </row>
    <row r="45" spans="1:4" s="709" customFormat="1" ht="66" customHeight="1">
      <c r="A45" s="711">
        <v>4</v>
      </c>
      <c r="B45" s="713" t="s">
        <v>917</v>
      </c>
      <c r="C45" s="928" t="s">
        <v>1114</v>
      </c>
      <c r="D45" s="929"/>
    </row>
    <row r="46" spans="1:4" s="709" customFormat="1" ht="20.25">
      <c r="A46" s="894" t="s">
        <v>918</v>
      </c>
      <c r="B46" s="894"/>
      <c r="C46" s="894"/>
      <c r="D46" s="894"/>
    </row>
    <row r="47" spans="1:4" s="709" customFormat="1" ht="18.75">
      <c r="A47" s="711">
        <v>1</v>
      </c>
      <c r="B47" s="713" t="s">
        <v>1077</v>
      </c>
      <c r="C47" s="925" t="s">
        <v>1135</v>
      </c>
      <c r="D47" s="925"/>
    </row>
    <row r="48" spans="1:4" s="709" customFormat="1" ht="18.75">
      <c r="A48" s="711">
        <v>2</v>
      </c>
      <c r="B48" s="713" t="s">
        <v>919</v>
      </c>
      <c r="C48" s="925" t="s">
        <v>1136</v>
      </c>
      <c r="D48" s="925"/>
    </row>
    <row r="49" spans="1:5" s="709" customFormat="1" ht="22.5">
      <c r="A49" s="711">
        <v>3</v>
      </c>
      <c r="B49" s="713" t="s">
        <v>944</v>
      </c>
      <c r="C49" s="925" t="s">
        <v>1136</v>
      </c>
      <c r="D49" s="925"/>
    </row>
    <row r="50" spans="1:5" s="709" customFormat="1" ht="22.5">
      <c r="A50" s="711">
        <v>4</v>
      </c>
      <c r="B50" s="713" t="s">
        <v>1078</v>
      </c>
      <c r="C50" s="925" t="s">
        <v>1135</v>
      </c>
      <c r="D50" s="925"/>
    </row>
    <row r="51" spans="1:5" s="709" customFormat="1" ht="22.5">
      <c r="A51" s="711">
        <v>5</v>
      </c>
      <c r="B51" s="713" t="s">
        <v>1079</v>
      </c>
      <c r="C51" s="925" t="s">
        <v>1135</v>
      </c>
      <c r="D51" s="925"/>
    </row>
    <row r="52" spans="1:5" s="709" customFormat="1" ht="75">
      <c r="A52" s="711">
        <v>6</v>
      </c>
      <c r="B52" s="713" t="s">
        <v>920</v>
      </c>
      <c r="C52" s="926"/>
      <c r="D52" s="926"/>
    </row>
    <row r="53" spans="1:5" s="709" customFormat="1" ht="20.25">
      <c r="A53" s="894" t="s">
        <v>921</v>
      </c>
      <c r="B53" s="894"/>
      <c r="C53" s="894"/>
      <c r="D53" s="894"/>
    </row>
    <row r="54" spans="1:5" s="709" customFormat="1" ht="66" customHeight="1">
      <c r="A54" s="895">
        <v>1</v>
      </c>
      <c r="B54" s="713" t="s">
        <v>922</v>
      </c>
      <c r="C54" s="927">
        <f>ИтогТаблицы!C11</f>
        <v>0</v>
      </c>
      <c r="D54" s="927"/>
    </row>
    <row r="55" spans="1:5" s="709" customFormat="1" ht="37.5">
      <c r="A55" s="895"/>
      <c r="B55" s="713" t="s">
        <v>923</v>
      </c>
      <c r="C55" s="908">
        <f>SUM(Инвестиции!F9:H9)/1000</f>
        <v>0</v>
      </c>
      <c r="D55" s="908"/>
    </row>
    <row r="56" spans="1:5" s="709" customFormat="1" ht="37.5">
      <c r="A56" s="895"/>
      <c r="B56" s="713" t="s">
        <v>924</v>
      </c>
      <c r="C56" s="837">
        <f>Финансы!D7/1000</f>
        <v>20</v>
      </c>
      <c r="D56" s="837" t="str">
        <f>ИтогТаблицы!B13</f>
        <v>Взносы в уставный капитал  (млн.руб.)</v>
      </c>
      <c r="E56" s="887"/>
    </row>
    <row r="57" spans="1:5" s="709" customFormat="1" ht="37.5">
      <c r="A57" s="895"/>
      <c r="B57" s="713" t="s">
        <v>925</v>
      </c>
      <c r="C57" s="837">
        <f ca="1">SUM(Финансы!D22)/1000</f>
        <v>0</v>
      </c>
      <c r="D57" s="837" t="str">
        <f>ИтогТаблицы!B15</f>
        <v>Заемные средства  (млн.руб.)</v>
      </c>
      <c r="E57" s="887"/>
    </row>
    <row r="58" spans="1:5" s="709" customFormat="1" ht="18.75">
      <c r="A58" s="711">
        <v>2</v>
      </c>
      <c r="B58" s="713" t="s">
        <v>926</v>
      </c>
      <c r="C58" s="923">
        <f>Исходные!P94</f>
        <v>23</v>
      </c>
      <c r="D58" s="924"/>
    </row>
    <row r="59" spans="1:5" s="709" customFormat="1" ht="37.5">
      <c r="A59" s="895">
        <v>3</v>
      </c>
      <c r="B59" s="713" t="s">
        <v>927</v>
      </c>
      <c r="C59" s="921">
        <f ca="1">ИтогТаблицы!C76</f>
        <v>150.87</v>
      </c>
      <c r="D59" s="922"/>
    </row>
    <row r="60" spans="1:5" s="709" customFormat="1" ht="18.75">
      <c r="A60" s="895"/>
      <c r="B60" s="713" t="s">
        <v>928</v>
      </c>
      <c r="C60" s="916">
        <f ca="1">ИтогТаблицы!C77</f>
        <v>77.930000000000007</v>
      </c>
      <c r="D60" s="917"/>
    </row>
    <row r="61" spans="1:5" s="709" customFormat="1" ht="18.75">
      <c r="A61" s="895"/>
      <c r="B61" s="713" t="s">
        <v>929</v>
      </c>
      <c r="C61" s="916">
        <f ca="1">ИтогТаблицы!C78</f>
        <v>62.97</v>
      </c>
      <c r="D61" s="917"/>
    </row>
    <row r="62" spans="1:5" s="709" customFormat="1" ht="18.75">
      <c r="A62" s="895"/>
      <c r="B62" s="713" t="s">
        <v>930</v>
      </c>
      <c r="C62" s="916">
        <f>ИтогТаблицы!C79</f>
        <v>9.9700000000000006</v>
      </c>
      <c r="D62" s="917"/>
    </row>
    <row r="63" spans="1:5" s="709" customFormat="1" ht="18.75">
      <c r="A63" s="895">
        <v>4</v>
      </c>
      <c r="B63" s="713" t="s">
        <v>931</v>
      </c>
      <c r="C63" s="921">
        <f ca="1">ИтогТаблицы!D76</f>
        <v>16.32</v>
      </c>
      <c r="D63" s="922"/>
    </row>
    <row r="64" spans="1:5" s="709" customFormat="1" ht="18.75">
      <c r="A64" s="895"/>
      <c r="B64" s="713" t="s">
        <v>928</v>
      </c>
      <c r="C64" s="916">
        <f ca="1">ИтогТаблицы!D77</f>
        <v>0</v>
      </c>
      <c r="D64" s="917"/>
    </row>
    <row r="65" spans="1:5" s="709" customFormat="1" ht="18.75">
      <c r="A65" s="895"/>
      <c r="B65" s="713" t="s">
        <v>929</v>
      </c>
      <c r="C65" s="916">
        <f ca="1">ИтогТаблицы!D78</f>
        <v>16.32</v>
      </c>
      <c r="D65" s="917"/>
    </row>
    <row r="66" spans="1:5" s="709" customFormat="1" ht="18.75">
      <c r="A66" s="895"/>
      <c r="B66" s="713" t="s">
        <v>930</v>
      </c>
      <c r="C66" s="916">
        <f>ИтогТаблицы!D79</f>
        <v>0</v>
      </c>
      <c r="D66" s="917"/>
    </row>
    <row r="67" spans="1:5" s="709" customFormat="1" ht="37.5">
      <c r="A67" s="711">
        <v>5</v>
      </c>
      <c r="B67" s="713" t="s">
        <v>932</v>
      </c>
      <c r="C67" s="918"/>
      <c r="D67" s="918"/>
    </row>
    <row r="68" spans="1:5" s="709" customFormat="1" ht="20.25">
      <c r="A68" s="894" t="s">
        <v>933</v>
      </c>
      <c r="B68" s="894"/>
      <c r="C68" s="894"/>
      <c r="D68" s="894"/>
    </row>
    <row r="69" spans="1:5" s="709" customFormat="1" ht="18.75">
      <c r="A69" s="895">
        <v>1</v>
      </c>
      <c r="B69" s="896" t="s">
        <v>934</v>
      </c>
      <c r="C69" s="718" t="s">
        <v>935</v>
      </c>
      <c r="D69" s="718" t="s">
        <v>936</v>
      </c>
    </row>
    <row r="70" spans="1:5" s="709" customFormat="1" ht="27" customHeight="1">
      <c r="A70" s="895"/>
      <c r="B70" s="896"/>
      <c r="C70" s="731">
        <f ca="1">КПЭбезЛьгот!D9</f>
        <v>0.2976349651813508</v>
      </c>
      <c r="D70" s="731" t="e">
        <f ca="1">КПЭ!D9</f>
        <v>#NUM!</v>
      </c>
    </row>
    <row r="71" spans="1:5" s="709" customFormat="1" ht="37.5">
      <c r="A71" s="711">
        <v>2</v>
      </c>
      <c r="B71" s="713" t="s">
        <v>937</v>
      </c>
      <c r="C71" s="730" t="e">
        <f ca="1">КПЭбезЛьгот!D6/1000</f>
        <v>#DIV/0!</v>
      </c>
      <c r="D71" s="730" t="e">
        <f ca="1">КПЭ!D6/1000</f>
        <v>#DIV/0!</v>
      </c>
    </row>
    <row r="72" spans="1:5" s="709" customFormat="1" ht="18.75">
      <c r="A72" s="711">
        <v>3</v>
      </c>
      <c r="B72" s="713" t="s">
        <v>938</v>
      </c>
      <c r="C72" s="729">
        <f ca="1">КПЭбезЛьгот!D7</f>
        <v>5</v>
      </c>
      <c r="D72" s="729">
        <f ca="1">КПЭ!D7</f>
        <v>1</v>
      </c>
    </row>
    <row r="73" spans="1:5" s="709" customFormat="1" ht="37.5">
      <c r="A73" s="711">
        <v>4</v>
      </c>
      <c r="B73" s="713" t="s">
        <v>939</v>
      </c>
      <c r="C73" s="729" t="e">
        <f ca="1">КПЭбезЛьгот!D8</f>
        <v>#DIV/0!</v>
      </c>
      <c r="D73" s="729" t="e">
        <f ca="1">КПЭ!D8</f>
        <v>#DIV/0!</v>
      </c>
    </row>
    <row r="74" spans="1:5" s="709" customFormat="1" ht="18.75">
      <c r="A74" s="711">
        <v>5</v>
      </c>
      <c r="B74" s="713" t="s">
        <v>940</v>
      </c>
      <c r="C74" s="836">
        <f ca="1">(БДРбезЛьгот!D25-БДРбезЛьгот!D20)/1000</f>
        <v>51.536980087306731</v>
      </c>
      <c r="D74" s="836">
        <f ca="1">(БДР!D25-БДР!D20)/1000</f>
        <v>163.15324653028321</v>
      </c>
    </row>
    <row r="75" spans="1:5" s="709" customFormat="1" ht="37.5">
      <c r="A75" s="711">
        <v>6</v>
      </c>
      <c r="B75" s="713" t="s">
        <v>941</v>
      </c>
      <c r="C75" s="836">
        <f ca="1">(БДРбезЛьгот!D25-БДРбезЛьгот!D20--БДРбезЛьгот!D10)/1000</f>
        <v>51.536980087306731</v>
      </c>
      <c r="D75" s="836">
        <f ca="1">(БДР!D25-БДР!D20-БДР!D10)/1000</f>
        <v>163.15324653028321</v>
      </c>
    </row>
    <row r="76" spans="1:5" s="709" customFormat="1" ht="18.75">
      <c r="A76" s="711">
        <v>7</v>
      </c>
      <c r="B76" s="713" t="s">
        <v>942</v>
      </c>
      <c r="C76" s="732" t="e">
        <f ca="1">КПЭбезЛьгот!D10</f>
        <v>#DIV/0!</v>
      </c>
      <c r="D76" s="732" t="e">
        <f ca="1">КПЭ!D10</f>
        <v>#DIV/0!</v>
      </c>
    </row>
    <row r="77" spans="1:5" s="709" customFormat="1" ht="18.75"/>
    <row r="78" spans="1:5" s="709" customFormat="1" ht="18.75">
      <c r="A78" s="734" t="s">
        <v>1045</v>
      </c>
    </row>
    <row r="79" spans="1:5" s="709" customFormat="1" ht="112.5">
      <c r="A79" s="711">
        <v>1</v>
      </c>
      <c r="B79" s="712" t="s">
        <v>946</v>
      </c>
      <c r="C79" s="919" t="s">
        <v>1231</v>
      </c>
      <c r="D79" s="920"/>
      <c r="E79" s="747"/>
    </row>
    <row r="80" spans="1:5" s="709" customFormat="1" ht="75">
      <c r="A80" s="711">
        <v>2</v>
      </c>
      <c r="B80" s="712" t="s">
        <v>947</v>
      </c>
      <c r="C80" s="919" t="s">
        <v>1233</v>
      </c>
      <c r="D80" s="920"/>
      <c r="E80" s="747"/>
    </row>
    <row r="81" spans="1:5" s="709" customFormat="1" ht="65.25" customHeight="1">
      <c r="A81" s="711">
        <v>3</v>
      </c>
      <c r="B81" s="712" t="s">
        <v>948</v>
      </c>
      <c r="C81" s="919" t="s">
        <v>1229</v>
      </c>
      <c r="D81" s="920"/>
      <c r="E81" s="747"/>
    </row>
    <row r="82" spans="1:5" s="709" customFormat="1" ht="75">
      <c r="A82" s="711">
        <v>4</v>
      </c>
      <c r="B82" s="712" t="s">
        <v>949</v>
      </c>
      <c r="C82" s="920" t="s">
        <v>1137</v>
      </c>
      <c r="D82" s="920"/>
      <c r="E82" s="747"/>
    </row>
    <row r="83" spans="1:5" s="709" customFormat="1" ht="224.25" customHeight="1">
      <c r="A83" s="711">
        <v>5</v>
      </c>
      <c r="B83" s="712" t="s">
        <v>950</v>
      </c>
      <c r="C83" s="919" t="s">
        <v>1232</v>
      </c>
      <c r="D83" s="920"/>
      <c r="E83" s="747"/>
    </row>
    <row r="84" spans="1:5" s="709" customFormat="1" ht="18.75"/>
    <row r="85" spans="1:5" s="709" customFormat="1" ht="42.75" customHeight="1">
      <c r="B85" s="707"/>
      <c r="C85" s="717"/>
      <c r="D85" s="835">
        <f>C18</f>
        <v>0</v>
      </c>
    </row>
    <row r="86" spans="1:5" s="709" customFormat="1" ht="76.5">
      <c r="B86" s="714">
        <v>45440</v>
      </c>
      <c r="C86" s="707"/>
      <c r="D86" s="710" t="s">
        <v>951</v>
      </c>
    </row>
    <row r="87" spans="1:5" s="709" customFormat="1" ht="18.75">
      <c r="B87" s="715"/>
      <c r="C87" s="708"/>
      <c r="D87" s="716"/>
    </row>
    <row r="88" spans="1:5" s="709" customFormat="1" ht="18.75">
      <c r="B88" s="715"/>
      <c r="C88" s="708"/>
      <c r="D88" s="716"/>
    </row>
    <row r="89" spans="1:5" s="709" customFormat="1" ht="60.75">
      <c r="B89" s="715"/>
      <c r="C89" s="708"/>
      <c r="D89" s="164" t="s">
        <v>983</v>
      </c>
    </row>
    <row r="90" spans="1:5" s="709" customFormat="1" ht="18.75">
      <c r="B90" s="897" t="s">
        <v>984</v>
      </c>
      <c r="C90" s="898"/>
      <c r="D90" s="716"/>
    </row>
    <row r="91" spans="1:5" s="709" customFormat="1" ht="18.75">
      <c r="B91" s="715"/>
      <c r="C91" s="708"/>
      <c r="D91" s="716"/>
    </row>
    <row r="92" spans="1:5" s="709" customFormat="1" ht="20.25">
      <c r="A92" s="894" t="s">
        <v>952</v>
      </c>
      <c r="B92" s="894"/>
      <c r="C92" s="894"/>
      <c r="D92" s="894"/>
    </row>
    <row r="93" spans="1:5" s="709" customFormat="1" ht="18.75">
      <c r="A93" s="711">
        <v>1</v>
      </c>
      <c r="B93" s="713" t="s">
        <v>953</v>
      </c>
      <c r="C93" s="910" t="str">
        <f>HYPERLINK("#Макро!$A$1","Перейти к листу Макро")</f>
        <v>Перейти к листу Макро</v>
      </c>
      <c r="D93" s="895"/>
    </row>
    <row r="94" spans="1:5" s="709" customFormat="1" ht="18.75">
      <c r="A94" s="711">
        <v>2</v>
      </c>
      <c r="B94" s="713" t="s">
        <v>954</v>
      </c>
      <c r="C94" s="914" t="s">
        <v>1138</v>
      </c>
      <c r="D94" s="914"/>
    </row>
    <row r="95" spans="1:5" s="709" customFormat="1" ht="368.25" customHeight="1">
      <c r="A95" s="711">
        <v>3</v>
      </c>
      <c r="B95" s="713" t="s">
        <v>955</v>
      </c>
      <c r="C95" s="915" t="s">
        <v>1238</v>
      </c>
      <c r="D95" s="915"/>
    </row>
    <row r="96" spans="1:5" s="709" customFormat="1" ht="18.75">
      <c r="A96" s="711">
        <v>4</v>
      </c>
      <c r="B96" s="713" t="s">
        <v>956</v>
      </c>
      <c r="C96" s="896" t="s">
        <v>1139</v>
      </c>
      <c r="D96" s="896"/>
    </row>
    <row r="97" spans="1:4" s="709" customFormat="1" ht="37.5">
      <c r="A97" s="711">
        <v>5</v>
      </c>
      <c r="B97" s="713" t="s">
        <v>957</v>
      </c>
      <c r="C97" s="910" t="str">
        <f>HYPERLINK("#КПЭ!$A$1","Перейти к листу КПЭ")</f>
        <v>Перейти к листу КПЭ</v>
      </c>
      <c r="D97" s="895"/>
    </row>
    <row r="98" spans="1:4" s="709" customFormat="1" ht="18.75">
      <c r="A98" s="899" t="s">
        <v>986</v>
      </c>
      <c r="B98" s="900"/>
      <c r="C98" s="900"/>
      <c r="D98" s="901"/>
    </row>
    <row r="99" spans="1:4" s="709" customFormat="1" ht="18.75">
      <c r="A99" s="905"/>
      <c r="B99" s="906"/>
      <c r="C99" s="906"/>
      <c r="D99" s="907"/>
    </row>
    <row r="100" spans="1:4" s="709" customFormat="1" ht="20.25">
      <c r="A100" s="894" t="s">
        <v>958</v>
      </c>
      <c r="B100" s="894"/>
      <c r="C100" s="894"/>
      <c r="D100" s="894"/>
    </row>
    <row r="101" spans="1:4" s="709" customFormat="1" ht="48.4" customHeight="1">
      <c r="A101" s="895">
        <v>1</v>
      </c>
      <c r="B101" s="713" t="s">
        <v>959</v>
      </c>
      <c r="C101" s="910" t="str">
        <f>HYPERLINK("#Себестоимость!$A$1","Перейти к листу Себесоимость")</f>
        <v>Перейти к листу Себесоимость</v>
      </c>
      <c r="D101" s="895"/>
    </row>
    <row r="102" spans="1:4" s="709" customFormat="1" ht="48.4" customHeight="1">
      <c r="A102" s="895"/>
      <c r="B102" s="713" t="s">
        <v>960</v>
      </c>
      <c r="C102" s="910" t="str">
        <f>HYPERLINK("#Персонал!$A$1","Перейти к листу Персонал")</f>
        <v>Перейти к листу Персонал</v>
      </c>
      <c r="D102" s="895"/>
    </row>
    <row r="103" spans="1:4" s="709" customFormat="1" ht="48.4" customHeight="1">
      <c r="A103" s="895"/>
      <c r="B103" s="713" t="s">
        <v>961</v>
      </c>
      <c r="C103" s="910" t="str">
        <f>HYPERLINK("#Ресурсы!$A$1","Перейти к листу Ресурсы")</f>
        <v>Перейти к листу Ресурсы</v>
      </c>
      <c r="D103" s="895"/>
    </row>
    <row r="104" spans="1:4" s="709" customFormat="1" ht="48.4" customHeight="1">
      <c r="A104" s="895"/>
      <c r="B104" s="713" t="s">
        <v>962</v>
      </c>
      <c r="C104" s="911" t="str">
        <f>HYPERLINK("#Инвестиции!$A$1","Перейти к листу Инвестиции")</f>
        <v>Перейти к листу Инвестиции</v>
      </c>
      <c r="D104" s="912"/>
    </row>
    <row r="105" spans="1:4" s="709" customFormat="1" ht="59.25" customHeight="1">
      <c r="A105" s="711">
        <v>2</v>
      </c>
      <c r="B105" s="713" t="s">
        <v>963</v>
      </c>
      <c r="C105" s="910" t="str">
        <f>HYPERLINK("#Инвестиции!$A$1","Перейти к листу Инвестиции")</f>
        <v>Перейти к листу Инвестиции</v>
      </c>
      <c r="D105" s="895"/>
    </row>
    <row r="106" spans="1:4" s="709" customFormat="1" ht="48.4" customHeight="1">
      <c r="A106" s="895">
        <v>3</v>
      </c>
      <c r="B106" s="713" t="s">
        <v>964</v>
      </c>
      <c r="C106" s="911" t="str">
        <f>HYPERLINK("#Выручка!$A$1","Перейти к листу Выручка")</f>
        <v>Перейти к листу Выручка</v>
      </c>
      <c r="D106" s="912"/>
    </row>
    <row r="107" spans="1:4" s="709" customFormat="1" ht="48.4" customHeight="1">
      <c r="A107" s="895"/>
      <c r="B107" s="713" t="s">
        <v>965</v>
      </c>
      <c r="C107" s="910" t="str">
        <f>HYPERLINK("#Выручка!$A$1","Перейти к листу Выручка")</f>
        <v>Перейти к листу Выручка</v>
      </c>
      <c r="D107" s="895"/>
    </row>
    <row r="108" spans="1:4" s="709" customFormat="1" ht="62.25" customHeight="1">
      <c r="A108" s="913" t="s">
        <v>966</v>
      </c>
      <c r="B108" s="913"/>
      <c r="C108" s="913"/>
      <c r="D108" s="913"/>
    </row>
    <row r="109" spans="1:4" s="709" customFormat="1" ht="20.25">
      <c r="A109" s="894" t="s">
        <v>967</v>
      </c>
      <c r="B109" s="894"/>
      <c r="C109" s="894"/>
      <c r="D109" s="894"/>
    </row>
    <row r="110" spans="1:4" s="709" customFormat="1" ht="18.75">
      <c r="A110" s="711">
        <v>1</v>
      </c>
      <c r="B110" s="713" t="s">
        <v>968</v>
      </c>
      <c r="C110" s="910" t="str">
        <f>HYPERLINK("#Баланс!$A$1","Перейти к листу Баланс")</f>
        <v>Перейти к листу Баланс</v>
      </c>
      <c r="D110" s="895"/>
    </row>
    <row r="111" spans="1:4" s="709" customFormat="1" ht="18.75">
      <c r="A111" s="711">
        <v>2</v>
      </c>
      <c r="B111" s="713" t="s">
        <v>969</v>
      </c>
      <c r="C111" s="910" t="str">
        <f>HYPERLINK("#БДР!A1","Перейти к листу прогнозный отчет о фин.результатах")</f>
        <v>Перейти к листу прогнозный отчет о фин.результатах</v>
      </c>
      <c r="D111" s="895"/>
    </row>
    <row r="112" spans="1:4" s="709" customFormat="1" ht="18.75">
      <c r="A112" s="711">
        <v>3</v>
      </c>
      <c r="B112" s="713" t="s">
        <v>970</v>
      </c>
      <c r="C112" s="910" t="str">
        <f>HYPERLINK("#БДДС!A1","Перейти на лист прогнозный отчет о движ.ден.средств")</f>
        <v>Перейти на лист прогнозный отчет о движ.ден.средств</v>
      </c>
      <c r="D112" s="895"/>
    </row>
    <row r="113" spans="1:4" s="709" customFormat="1" ht="20.25">
      <c r="A113" s="894" t="s">
        <v>971</v>
      </c>
      <c r="B113" s="894"/>
      <c r="C113" s="894"/>
      <c r="D113" s="894"/>
    </row>
    <row r="114" spans="1:4" s="709" customFormat="1" ht="37.5">
      <c r="A114" s="711">
        <v>1</v>
      </c>
      <c r="B114" s="713" t="s">
        <v>972</v>
      </c>
      <c r="C114" s="908">
        <f ca="1">SUM(НалогСвод!D17,НалогСвод!D18,НалогСвод!D19)/1000</f>
        <v>150.86641329571219</v>
      </c>
      <c r="D114" s="908"/>
    </row>
    <row r="115" spans="1:4" s="709" customFormat="1" ht="18.75">
      <c r="A115" s="711">
        <v>2</v>
      </c>
      <c r="B115" s="713" t="s">
        <v>973</v>
      </c>
      <c r="C115" s="909"/>
      <c r="D115" s="909"/>
    </row>
    <row r="116" spans="1:4" s="709" customFormat="1" ht="18.75">
      <c r="A116" s="711">
        <v>3</v>
      </c>
      <c r="B116" s="713" t="s">
        <v>528</v>
      </c>
      <c r="C116" s="908">
        <f>НалогСвод!D20/1000</f>
        <v>37.8698046860099</v>
      </c>
      <c r="D116" s="908"/>
    </row>
    <row r="117" spans="1:4" s="709" customFormat="1" ht="37.5">
      <c r="A117" s="711">
        <v>4</v>
      </c>
      <c r="B117" s="713" t="s">
        <v>974</v>
      </c>
      <c r="C117" s="908">
        <f ca="1">SUM(НалогСвод!D31,НалогСвод!D32,НалогСвод!D33)/1000</f>
        <v>16.31532465302832</v>
      </c>
      <c r="D117" s="908"/>
    </row>
    <row r="118" spans="1:4" s="709" customFormat="1" ht="18.75">
      <c r="A118" s="711">
        <v>5</v>
      </c>
      <c r="B118" s="713" t="s">
        <v>975</v>
      </c>
      <c r="C118" s="909"/>
      <c r="D118" s="909"/>
    </row>
    <row r="119" spans="1:4" s="709" customFormat="1" ht="18.75">
      <c r="A119" s="711">
        <v>6</v>
      </c>
      <c r="B119" s="713" t="s">
        <v>976</v>
      </c>
      <c r="C119" s="908">
        <f>НалогСвод!D28/1000</f>
        <v>111.61626644297654</v>
      </c>
      <c r="D119" s="908"/>
    </row>
    <row r="120" spans="1:4" s="709" customFormat="1" ht="18.75">
      <c r="A120" s="899" t="s">
        <v>985</v>
      </c>
      <c r="B120" s="900"/>
      <c r="C120" s="900"/>
      <c r="D120" s="901"/>
    </row>
    <row r="121" spans="1:4" s="709" customFormat="1" ht="28.5" customHeight="1">
      <c r="A121" s="902"/>
      <c r="B121" s="903"/>
      <c r="C121" s="903"/>
      <c r="D121" s="904"/>
    </row>
    <row r="122" spans="1:4" s="709" customFormat="1" ht="20.25">
      <c r="A122" s="894" t="s">
        <v>977</v>
      </c>
      <c r="B122" s="894"/>
      <c r="C122" s="894"/>
      <c r="D122" s="894"/>
    </row>
    <row r="123" spans="1:4" s="709" customFormat="1" ht="18.75">
      <c r="A123" s="895">
        <v>1</v>
      </c>
      <c r="B123" s="896" t="s">
        <v>978</v>
      </c>
      <c r="C123" s="718" t="s">
        <v>935</v>
      </c>
      <c r="D123" s="718" t="s">
        <v>936</v>
      </c>
    </row>
    <row r="124" spans="1:4" s="709" customFormat="1" ht="18.75">
      <c r="A124" s="895"/>
      <c r="B124" s="896"/>
      <c r="C124" s="731">
        <f ca="1">КПЭбезЛьгот!D9</f>
        <v>0.2976349651813508</v>
      </c>
      <c r="D124" s="731" t="e">
        <f ca="1">КПЭ!D9</f>
        <v>#NUM!</v>
      </c>
    </row>
    <row r="125" spans="1:4" s="709" customFormat="1" ht="18.75">
      <c r="A125" s="711">
        <v>2</v>
      </c>
      <c r="B125" s="713" t="s">
        <v>979</v>
      </c>
      <c r="C125" s="730" t="e">
        <f ca="1">КПЭбезЛьгот!D6/1000</f>
        <v>#DIV/0!</v>
      </c>
      <c r="D125" s="730" t="e">
        <f ca="1">КПЭ!D6/1000</f>
        <v>#DIV/0!</v>
      </c>
    </row>
    <row r="126" spans="1:4" s="709" customFormat="1" ht="18.75">
      <c r="A126" s="711">
        <v>3</v>
      </c>
      <c r="B126" s="713" t="s">
        <v>980</v>
      </c>
      <c r="C126" s="729">
        <f ca="1">КПЭбезЛьгот!D7</f>
        <v>5</v>
      </c>
      <c r="D126" s="729">
        <f ca="1">КПЭ!D7</f>
        <v>1</v>
      </c>
    </row>
    <row r="127" spans="1:4" s="709" customFormat="1" ht="18.75">
      <c r="A127" s="711">
        <v>4</v>
      </c>
      <c r="B127" s="713" t="s">
        <v>981</v>
      </c>
      <c r="C127" s="729" t="e">
        <f ca="1">КПЭбезЛьгот!D8</f>
        <v>#DIV/0!</v>
      </c>
      <c r="D127" s="729" t="e">
        <f ca="1">КПЭ!D8</f>
        <v>#DIV/0!</v>
      </c>
    </row>
    <row r="128" spans="1:4" s="709" customFormat="1" ht="18.75">
      <c r="A128" s="711">
        <v>5</v>
      </c>
      <c r="B128" s="713" t="s">
        <v>982</v>
      </c>
      <c r="C128" s="732" t="e">
        <f ca="1">КПЭбезЛьгот!D10</f>
        <v>#DIV/0!</v>
      </c>
      <c r="D128" s="732" t="e">
        <f ca="1">КПЭ!D10</f>
        <v>#DIV/0!</v>
      </c>
    </row>
    <row r="129" spans="1:4" s="709" customFormat="1" ht="18.75">
      <c r="A129" s="721"/>
      <c r="B129" s="722"/>
      <c r="C129" s="723"/>
      <c r="D129" s="723"/>
    </row>
    <row r="130" spans="1:4" s="709" customFormat="1" ht="18.75">
      <c r="A130" s="721"/>
      <c r="B130" s="722"/>
      <c r="C130" s="723"/>
      <c r="D130" s="723"/>
    </row>
    <row r="131" spans="1:4" s="709" customFormat="1" ht="18.75">
      <c r="A131" s="721"/>
      <c r="B131" s="722"/>
      <c r="C131" s="723"/>
      <c r="D131" s="723"/>
    </row>
    <row r="132" spans="1:4" s="709" customFormat="1" ht="18.75">
      <c r="A132" s="721"/>
      <c r="B132" s="722"/>
      <c r="C132" s="723"/>
      <c r="D132" s="723"/>
    </row>
    <row r="133" spans="1:4" s="709" customFormat="1" ht="18.75">
      <c r="A133" s="721"/>
      <c r="B133" s="722"/>
      <c r="C133" s="723"/>
      <c r="D133" s="723"/>
    </row>
    <row r="134" spans="1:4" s="709" customFormat="1" ht="18.75">
      <c r="A134" s="721"/>
      <c r="B134" s="722"/>
      <c r="C134" s="723"/>
      <c r="D134" s="723"/>
    </row>
    <row r="135" spans="1:4" s="709" customFormat="1" ht="18.75">
      <c r="A135" s="721"/>
      <c r="B135" s="722"/>
      <c r="C135" s="723"/>
      <c r="D135" s="723"/>
    </row>
    <row r="136" spans="1:4" s="709" customFormat="1" ht="18.75">
      <c r="A136" s="721"/>
      <c r="B136" s="722"/>
      <c r="C136" s="723"/>
      <c r="D136" s="723"/>
    </row>
    <row r="137" spans="1:4" s="709" customFormat="1" ht="18.75">
      <c r="A137" s="721"/>
      <c r="B137" s="722"/>
      <c r="C137" s="723"/>
      <c r="D137" s="723"/>
    </row>
    <row r="138" spans="1:4" s="709" customFormat="1" ht="18.75">
      <c r="A138" s="721"/>
      <c r="B138" s="722"/>
      <c r="C138" s="723"/>
      <c r="D138" s="723"/>
    </row>
    <row r="139" spans="1:4" s="709" customFormat="1" ht="18.75">
      <c r="A139" s="721"/>
      <c r="B139" s="722"/>
      <c r="C139" s="723"/>
      <c r="D139" s="723"/>
    </row>
    <row r="140" spans="1:4" s="709" customFormat="1" ht="18.75">
      <c r="A140" s="721"/>
      <c r="B140" s="722"/>
      <c r="C140" s="723"/>
      <c r="D140" s="723"/>
    </row>
    <row r="141" spans="1:4" s="709" customFormat="1" ht="18.75">
      <c r="A141" s="721"/>
      <c r="B141" s="722"/>
      <c r="C141" s="723"/>
      <c r="D141" s="723"/>
    </row>
    <row r="142" spans="1:4" s="709" customFormat="1" ht="18.75">
      <c r="A142" s="721"/>
      <c r="B142" s="722"/>
      <c r="C142" s="723"/>
      <c r="D142" s="723"/>
    </row>
    <row r="143" spans="1:4" s="709" customFormat="1" ht="18.75">
      <c r="A143" s="721"/>
      <c r="B143" s="722"/>
      <c r="C143" s="723"/>
      <c r="D143" s="723"/>
    </row>
    <row r="144" spans="1:4" s="709" customFormat="1" ht="18.75">
      <c r="A144" s="721"/>
      <c r="B144" s="722"/>
      <c r="C144" s="723"/>
      <c r="D144" s="723"/>
    </row>
    <row r="145" spans="1:4" s="709" customFormat="1" ht="18.75">
      <c r="A145" s="721"/>
      <c r="B145" s="722"/>
      <c r="C145" s="723"/>
      <c r="D145" s="723"/>
    </row>
    <row r="146" spans="1:4" s="709" customFormat="1" ht="18.75" hidden="1">
      <c r="A146" s="721"/>
      <c r="B146" s="722"/>
      <c r="C146" s="723"/>
      <c r="D146" s="723"/>
    </row>
    <row r="147" spans="1:4" s="709" customFormat="1" ht="18.75" hidden="1">
      <c r="A147" s="721"/>
      <c r="B147" s="722"/>
      <c r="C147" s="723"/>
      <c r="D147" s="723"/>
    </row>
    <row r="148" spans="1:4" s="709" customFormat="1" ht="18.75" hidden="1">
      <c r="A148" s="721"/>
      <c r="B148" s="722"/>
      <c r="C148" s="723"/>
      <c r="D148" s="723"/>
    </row>
    <row r="149" spans="1:4" s="709" customFormat="1" ht="18.75" hidden="1">
      <c r="A149" s="721"/>
      <c r="B149" s="722"/>
      <c r="C149" s="723"/>
      <c r="D149" s="723"/>
    </row>
    <row r="150" spans="1:4" s="709" customFormat="1" ht="18.75" hidden="1">
      <c r="A150" s="721"/>
      <c r="B150" s="722"/>
      <c r="C150" s="723"/>
      <c r="D150" s="723"/>
    </row>
    <row r="151" spans="1:4" s="709" customFormat="1" ht="18.75">
      <c r="A151" s="721"/>
      <c r="B151" s="722"/>
      <c r="C151" s="723"/>
      <c r="D151" s="723"/>
    </row>
    <row r="152" spans="1:4" s="709" customFormat="1" ht="18.75">
      <c r="A152" s="721"/>
      <c r="B152" s="722"/>
      <c r="C152" s="723"/>
      <c r="D152" s="723"/>
    </row>
    <row r="153" spans="1:4" s="709" customFormat="1" ht="18.75">
      <c r="A153" s="721"/>
      <c r="B153" s="722"/>
      <c r="C153" s="723"/>
      <c r="D153" s="723"/>
    </row>
    <row r="154" spans="1:4" s="709" customFormat="1" ht="18.75">
      <c r="B154" s="715"/>
      <c r="C154" s="708"/>
      <c r="D154" s="716"/>
    </row>
    <row r="155" spans="1:4" s="709" customFormat="1" ht="18.75">
      <c r="B155" s="715"/>
      <c r="C155" s="708"/>
      <c r="D155" s="716"/>
    </row>
    <row r="156" spans="1:4" s="709" customFormat="1" ht="18.75" hidden="1">
      <c r="B156" s="715"/>
      <c r="C156" s="708"/>
      <c r="D156" s="716"/>
    </row>
    <row r="157" spans="1:4" s="709" customFormat="1" ht="18.75" hidden="1">
      <c r="B157" s="715"/>
      <c r="C157" s="708"/>
      <c r="D157" s="716"/>
    </row>
    <row r="158" spans="1:4" s="709" customFormat="1" ht="18.75" hidden="1">
      <c r="B158" s="715"/>
      <c r="C158" s="708"/>
      <c r="D158" s="716"/>
    </row>
    <row r="159" spans="1:4" s="709" customFormat="1" ht="18.75" hidden="1">
      <c r="B159" s="715"/>
      <c r="C159" s="708"/>
      <c r="D159" s="716"/>
    </row>
    <row r="160" spans="1:4" s="709" customFormat="1" ht="18.75" hidden="1">
      <c r="B160" s="715"/>
      <c r="C160" s="708"/>
      <c r="D160" s="716"/>
    </row>
    <row r="161" spans="2:4" s="709" customFormat="1" ht="18.75" hidden="1">
      <c r="B161" s="715"/>
      <c r="C161" s="708"/>
      <c r="D161" s="716"/>
    </row>
    <row r="162" spans="2:4" s="709" customFormat="1" ht="18.75" hidden="1">
      <c r="B162" s="715"/>
      <c r="C162" s="708"/>
      <c r="D162" s="716"/>
    </row>
    <row r="163" spans="2:4" s="709" customFormat="1" ht="18.75" hidden="1">
      <c r="B163" s="715"/>
      <c r="C163" s="708"/>
      <c r="D163" s="716"/>
    </row>
    <row r="164" spans="2:4" s="709" customFormat="1" ht="18.75" hidden="1">
      <c r="B164" s="715"/>
      <c r="C164" s="708"/>
      <c r="D164" s="716"/>
    </row>
    <row r="165" spans="2:4" s="709" customFormat="1" ht="18.75" hidden="1">
      <c r="B165" s="715"/>
      <c r="C165" s="708"/>
      <c r="D165" s="716"/>
    </row>
    <row r="166" spans="2:4" s="709" customFormat="1" ht="18.75" hidden="1">
      <c r="B166" s="715"/>
      <c r="C166" s="708"/>
      <c r="D166" s="716"/>
    </row>
    <row r="167" spans="2:4" s="709" customFormat="1" ht="18.75" hidden="1">
      <c r="B167" s="715"/>
      <c r="C167" s="708"/>
      <c r="D167" s="716"/>
    </row>
    <row r="168" spans="2:4" s="709" customFormat="1" ht="18.75" hidden="1">
      <c r="B168" s="715"/>
      <c r="C168" s="708"/>
      <c r="D168" s="716"/>
    </row>
    <row r="169" spans="2:4" s="709" customFormat="1" ht="18.75" hidden="1">
      <c r="B169" s="715"/>
      <c r="C169" s="708"/>
      <c r="D169" s="716"/>
    </row>
    <row r="170" spans="2:4" s="709" customFormat="1" ht="18.75" hidden="1">
      <c r="B170" s="715"/>
      <c r="C170" s="708"/>
      <c r="D170" s="716"/>
    </row>
    <row r="171" spans="2:4" s="709" customFormat="1" ht="18.75" hidden="1">
      <c r="B171" s="715"/>
      <c r="C171" s="708"/>
      <c r="D171" s="716"/>
    </row>
    <row r="172" spans="2:4" s="709" customFormat="1" ht="18.75" hidden="1">
      <c r="B172" s="715"/>
      <c r="C172" s="708"/>
      <c r="D172" s="716"/>
    </row>
    <row r="173" spans="2:4" s="709" customFormat="1" ht="18.75" hidden="1">
      <c r="B173" s="715"/>
      <c r="C173" s="708"/>
      <c r="D173" s="716"/>
    </row>
    <row r="174" spans="2:4" s="709" customFormat="1" ht="18.75" hidden="1">
      <c r="B174" s="715"/>
      <c r="C174" s="708"/>
      <c r="D174" s="716"/>
    </row>
    <row r="175" spans="2:4" s="709" customFormat="1" ht="18.75" hidden="1">
      <c r="B175" s="715"/>
      <c r="C175" s="708"/>
      <c r="D175" s="716"/>
    </row>
    <row r="176" spans="2:4" s="709" customFormat="1" ht="18.75" hidden="1">
      <c r="B176" s="715"/>
      <c r="C176" s="708"/>
      <c r="D176" s="716"/>
    </row>
    <row r="177" spans="2:4" s="709" customFormat="1" ht="18.75" hidden="1">
      <c r="B177" s="715"/>
      <c r="C177" s="708"/>
      <c r="D177" s="716"/>
    </row>
    <row r="178" spans="2:4" s="709" customFormat="1" ht="18.75" hidden="1">
      <c r="B178" s="715"/>
      <c r="C178" s="708"/>
      <c r="D178" s="716"/>
    </row>
    <row r="179" spans="2:4" s="709" customFormat="1" ht="18.75" hidden="1">
      <c r="B179" s="715"/>
      <c r="C179" s="708"/>
      <c r="D179" s="716"/>
    </row>
    <row r="180" spans="2:4" s="709" customFormat="1" ht="18.75" hidden="1">
      <c r="B180" s="715"/>
      <c r="C180" s="708"/>
      <c r="D180" s="716"/>
    </row>
    <row r="181" spans="2:4" s="709" customFormat="1" ht="18.75" hidden="1">
      <c r="B181" s="715"/>
      <c r="C181" s="708"/>
      <c r="D181" s="716"/>
    </row>
    <row r="182" spans="2:4" s="709" customFormat="1" ht="18.75" hidden="1">
      <c r="B182" s="715"/>
      <c r="C182" s="708"/>
      <c r="D182" s="716"/>
    </row>
    <row r="183" spans="2:4" s="709" customFormat="1" ht="18.75" hidden="1"/>
    <row r="184" spans="2:4" s="709" customFormat="1" ht="18.75" hidden="1"/>
    <row r="185" spans="2:4"/>
    <row r="186" spans="2:4"/>
    <row r="187" spans="2:4"/>
    <row r="188" spans="2:4"/>
    <row r="189" spans="2:4"/>
    <row r="190" spans="2:4"/>
    <row r="191" spans="2:4"/>
    <row r="192" spans="2:4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</sheetData>
  <mergeCells count="108">
    <mergeCell ref="B6:C6"/>
    <mergeCell ref="B8:C8"/>
    <mergeCell ref="A11:D11"/>
    <mergeCell ref="A12:D12"/>
    <mergeCell ref="C13:D13"/>
    <mergeCell ref="C14:D14"/>
    <mergeCell ref="A22:A25"/>
    <mergeCell ref="C22:D22"/>
    <mergeCell ref="C23:D23"/>
    <mergeCell ref="C24:D24"/>
    <mergeCell ref="C25:D25"/>
    <mergeCell ref="B7:C7"/>
    <mergeCell ref="A26:D26"/>
    <mergeCell ref="C15:D15"/>
    <mergeCell ref="C16:D16"/>
    <mergeCell ref="C17:D17"/>
    <mergeCell ref="A18:A21"/>
    <mergeCell ref="C18:D18"/>
    <mergeCell ref="C19:D19"/>
    <mergeCell ref="C20:D20"/>
    <mergeCell ref="C21:D21"/>
    <mergeCell ref="A33:A34"/>
    <mergeCell ref="C33:D33"/>
    <mergeCell ref="C34:D34"/>
    <mergeCell ref="C35:D35"/>
    <mergeCell ref="A36:A37"/>
    <mergeCell ref="C36:D36"/>
    <mergeCell ref="C37:D37"/>
    <mergeCell ref="C27:D27"/>
    <mergeCell ref="C28:D28"/>
    <mergeCell ref="C29:D29"/>
    <mergeCell ref="C30:D30"/>
    <mergeCell ref="C31:D31"/>
    <mergeCell ref="C32:D32"/>
    <mergeCell ref="C44:D44"/>
    <mergeCell ref="C45:D45"/>
    <mergeCell ref="A46:D46"/>
    <mergeCell ref="C47:D47"/>
    <mergeCell ref="C48:D48"/>
    <mergeCell ref="C49:D49"/>
    <mergeCell ref="C38:D38"/>
    <mergeCell ref="C39:D39"/>
    <mergeCell ref="C40:D40"/>
    <mergeCell ref="A41:D41"/>
    <mergeCell ref="C42:D42"/>
    <mergeCell ref="C43:D43"/>
    <mergeCell ref="C58:D58"/>
    <mergeCell ref="A59:A62"/>
    <mergeCell ref="C59:D59"/>
    <mergeCell ref="C60:D60"/>
    <mergeCell ref="C61:D61"/>
    <mergeCell ref="C62:D62"/>
    <mergeCell ref="C50:D50"/>
    <mergeCell ref="C51:D51"/>
    <mergeCell ref="C52:D52"/>
    <mergeCell ref="A53:D53"/>
    <mergeCell ref="A54:A57"/>
    <mergeCell ref="C54:D54"/>
    <mergeCell ref="C55:D55"/>
    <mergeCell ref="A68:D68"/>
    <mergeCell ref="A69:A70"/>
    <mergeCell ref="B69:B70"/>
    <mergeCell ref="A92:D92"/>
    <mergeCell ref="A63:A66"/>
    <mergeCell ref="C64:D64"/>
    <mergeCell ref="C65:D65"/>
    <mergeCell ref="C66:D66"/>
    <mergeCell ref="C67:D67"/>
    <mergeCell ref="C79:D79"/>
    <mergeCell ref="C80:D80"/>
    <mergeCell ref="C81:D81"/>
    <mergeCell ref="C82:D82"/>
    <mergeCell ref="C83:D83"/>
    <mergeCell ref="C63:D63"/>
    <mergeCell ref="A101:A104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A3:B3"/>
    <mergeCell ref="A122:D122"/>
    <mergeCell ref="A123:A124"/>
    <mergeCell ref="B123:B124"/>
    <mergeCell ref="B90:C90"/>
    <mergeCell ref="A120:D121"/>
    <mergeCell ref="A98:D99"/>
    <mergeCell ref="C116:D116"/>
    <mergeCell ref="C117:D117"/>
    <mergeCell ref="C118:D118"/>
    <mergeCell ref="C119:D119"/>
    <mergeCell ref="C110:D110"/>
    <mergeCell ref="C111:D111"/>
    <mergeCell ref="C112:D112"/>
    <mergeCell ref="A113:D113"/>
    <mergeCell ref="C114:D114"/>
    <mergeCell ref="C115:D115"/>
    <mergeCell ref="C105:D105"/>
    <mergeCell ref="A106:A107"/>
    <mergeCell ref="C106:D106"/>
    <mergeCell ref="C107:D107"/>
    <mergeCell ref="A108:D108"/>
    <mergeCell ref="A109:D109"/>
    <mergeCell ref="A100:D100"/>
  </mergeCells>
  <hyperlinks>
    <hyperlink ref="C54:D54" location="Инвестиции!B9" display="Инвестиции!B9"/>
    <hyperlink ref="C56:D56" location="Финансы!D7" display="Финансы!D7"/>
    <hyperlink ref="C57:D57" location="Финансы!D22" display="Финансы!D22"/>
    <hyperlink ref="C58:D58" location="Исходные!P91" display="Исходные!P91"/>
    <hyperlink ref="C60:D60" location="НалогСвод!D16" display="НалогСвод!D16"/>
    <hyperlink ref="C61:D61" location="НалогСвод!D17" display="НалогСвод!D17"/>
    <hyperlink ref="C62:D62" location="НалогСвод!D18" display="НалогСвод!D18"/>
    <hyperlink ref="C64:D64" location="НалогСвод!D23" display="НалогСвод!D23"/>
    <hyperlink ref="C65:D65" location="НалогСвод!D24" display="НалогСвод!D24"/>
    <hyperlink ref="C66:D66" location="НалогСвод!D25" display="НалогСвод!D25"/>
  </hyperlinks>
  <pageMargins left="0.70866141732283472" right="0.70866141732283472" top="0.74803149606299213" bottom="0.74803149606299213" header="0.31496062992125984" footer="0.31496062992125984"/>
  <pageSetup paperSize="9" scale="55" fitToHeight="20" orientation="portrait" r:id="rId1"/>
  <headerFooter>
    <oddFooter>&amp;C&amp;10&amp;P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8" tint="0.79998168889431442"/>
    <pageSetUpPr fitToPage="1"/>
  </sheetPr>
  <dimension ref="A1:H57"/>
  <sheetViews>
    <sheetView showGridLines="0" zoomScale="115" zoomScaleNormal="115" workbookViewId="0">
      <pane xSplit="2" ySplit="4" topLeftCell="C5" activePane="bottomRight" state="frozen"/>
      <selection activeCell="C23" sqref="C23"/>
      <selection pane="topRight" activeCell="C23" sqref="C23"/>
      <selection pane="bottomLeft" activeCell="C23" sqref="C23"/>
      <selection pane="bottomRight" activeCell="A59" sqref="A59:XFD63"/>
    </sheetView>
  </sheetViews>
  <sheetFormatPr defaultColWidth="0" defaultRowHeight="15"/>
  <cols>
    <col min="1" max="1" width="10.5703125" customWidth="1"/>
    <col min="2" max="2" width="30.42578125" style="75" customWidth="1"/>
    <col min="3" max="3" width="51.140625" style="7" customWidth="1"/>
    <col min="4" max="4" width="1.85546875" style="11" customWidth="1"/>
    <col min="5" max="5" width="26.140625" style="25" customWidth="1"/>
    <col min="6" max="6" width="8.85546875" customWidth="1"/>
    <col min="7" max="8" width="0" hidden="1" customWidth="1"/>
    <col min="9" max="16384" width="8.85546875" hidden="1"/>
  </cols>
  <sheetData>
    <row r="1" spans="1:5" ht="18.75">
      <c r="A1" s="651" t="s">
        <v>0</v>
      </c>
      <c r="C1" s="99"/>
      <c r="D1" s="106"/>
      <c r="E1" s="113"/>
    </row>
    <row r="2" spans="1:5">
      <c r="A2" s="71" t="str">
        <f>Паспорт_ФМ_резидент!B7</f>
        <v>Разработка, производство, модернизация и реализация …</v>
      </c>
      <c r="C2" s="100" t="str">
        <f ca="1">Контроль!$Q$1</f>
        <v>Ошибок нет</v>
      </c>
      <c r="D2" s="106"/>
      <c r="E2" s="113"/>
    </row>
    <row r="3" spans="1:5">
      <c r="A3" s="78" t="s">
        <v>217</v>
      </c>
      <c r="B3" s="92" t="s">
        <v>218</v>
      </c>
      <c r="C3" s="78" t="s">
        <v>29</v>
      </c>
      <c r="D3" s="107"/>
      <c r="E3" s="78" t="s">
        <v>710</v>
      </c>
    </row>
    <row r="4" spans="1:5" s="9" customFormat="1" ht="6.6" customHeight="1">
      <c r="A4" s="79"/>
      <c r="B4" s="93"/>
      <c r="C4" s="101"/>
      <c r="D4" s="108"/>
      <c r="E4" s="114"/>
    </row>
    <row r="5" spans="1:5" ht="25.5">
      <c r="A5" s="80"/>
      <c r="B5" s="94" t="str">
        <f t="array" aca="1" ref="B5" ca="1">HYPERLINK(CELL("адрес",Оглавление!A1),"Оглавление")</f>
        <v>Оглавление</v>
      </c>
      <c r="C5" s="91" t="s">
        <v>477</v>
      </c>
      <c r="D5" s="109"/>
      <c r="E5" s="115" t="s">
        <v>374</v>
      </c>
    </row>
    <row r="6" spans="1:5" ht="25.5">
      <c r="A6" s="748"/>
      <c r="B6" s="94" t="str">
        <f t="array" aca="1" ref="B6" ca="1">HYPERLINK(CELL("адрес",Паспорт_ФМ_резидент!A1),"Паспорт")</f>
        <v>Паспорт</v>
      </c>
      <c r="C6" s="91" t="s">
        <v>885</v>
      </c>
      <c r="D6" s="110"/>
      <c r="E6" s="749" t="s">
        <v>1047</v>
      </c>
    </row>
    <row r="7" spans="1:5" ht="30">
      <c r="A7" s="748"/>
      <c r="B7" s="750" t="str">
        <f t="array" aca="1" ref="B7" ca="1">HYPERLINK(CELL("адрес",Оценка_инвестора!A2),"Оценка_инвестора")</f>
        <v>Оценка_инвестора</v>
      </c>
      <c r="C7" s="91" t="s">
        <v>1046</v>
      </c>
      <c r="D7" s="111"/>
      <c r="E7" s="116" t="s">
        <v>767</v>
      </c>
    </row>
    <row r="8" spans="1:5">
      <c r="A8" s="80"/>
      <c r="B8" s="94" t="str">
        <f t="array" aca="1" ref="B8" ca="1">HYPERLINK(CELL("адрес",Макро!A1),"Макро")</f>
        <v>Макро</v>
      </c>
      <c r="C8" s="91" t="s">
        <v>668</v>
      </c>
      <c r="D8" s="111"/>
      <c r="E8" s="117" t="s">
        <v>695</v>
      </c>
    </row>
    <row r="9" spans="1:5" ht="25.5">
      <c r="A9" s="80"/>
      <c r="B9" s="95" t="str">
        <f t="array" aca="1" ref="B9" ca="1">HYPERLINK(CELL("адрес",WACC!$A$1),"WACC")</f>
        <v>WACC</v>
      </c>
      <c r="C9" s="91" t="s">
        <v>353</v>
      </c>
      <c r="D9" s="110"/>
      <c r="E9" s="118" t="s">
        <v>375</v>
      </c>
    </row>
    <row r="10" spans="1:5" ht="25.5">
      <c r="A10" s="80"/>
      <c r="B10" s="94" t="str">
        <f t="array" aca="1" ref="B10" ca="1">HYPERLINK(CELL("адрес",Исходные!A1),"Исходные")</f>
        <v>Исходные</v>
      </c>
      <c r="C10" s="91" t="s">
        <v>667</v>
      </c>
      <c r="D10" s="110"/>
      <c r="E10" s="119" t="s">
        <v>768</v>
      </c>
    </row>
    <row r="11" spans="1:5" ht="30">
      <c r="A11" s="81"/>
      <c r="B11" s="94" t="str">
        <f t="array" aca="1" ref="B11" ca="1">HYPERLINK(CELL("адрес",КПЭ!A1),"КПЭ")</f>
        <v>КПЭ</v>
      </c>
      <c r="C11" s="91" t="s">
        <v>602</v>
      </c>
      <c r="D11" s="111"/>
      <c r="E11" s="120" t="s">
        <v>737</v>
      </c>
    </row>
    <row r="12" spans="1:5" ht="30">
      <c r="A12" s="81"/>
      <c r="B12" s="94" t="str">
        <f t="array" aca="1" ref="B12" ca="1">HYPERLINK(CELL("адрес",ИтогТаблицы!A1),"Итоговые таблицы")</f>
        <v>Итоговые таблицы</v>
      </c>
      <c r="C12" s="91" t="s">
        <v>481</v>
      </c>
      <c r="D12" s="111"/>
      <c r="E12" s="121" t="s">
        <v>696</v>
      </c>
    </row>
    <row r="13" spans="1:5">
      <c r="A13" s="81"/>
      <c r="B13" s="94" t="str">
        <f t="array" aca="1" ref="B13" ca="1">HYPERLINK(CELL("адрес",Дашборд_ИтогТабл!A1),"Дашборд Итоговые таблицы")</f>
        <v>Дашборд Итоговые таблицы</v>
      </c>
      <c r="C13" s="91" t="s">
        <v>794</v>
      </c>
      <c r="D13" s="111"/>
      <c r="E13" s="75"/>
    </row>
    <row r="14" spans="1:5" ht="30">
      <c r="A14" s="81"/>
      <c r="B14" s="94" t="str">
        <f t="array" aca="1" ref="B14" ca="1">HYPERLINK(CELL("адрес",Дашборд_Основной!A1),"Дашборд Основной")</f>
        <v>Дашборд Основной</v>
      </c>
      <c r="C14" s="91" t="s">
        <v>872</v>
      </c>
      <c r="D14" s="111"/>
      <c r="E14" s="75"/>
    </row>
    <row r="15" spans="1:5" ht="15" customHeight="1">
      <c r="A15" s="81"/>
      <c r="B15" s="94" t="str">
        <f t="array" aca="1" ref="B15" ca="1">HYPERLINK(CELL("адрес",БДР!A1),"БДР")</f>
        <v>БДР</v>
      </c>
      <c r="C15" s="91" t="s">
        <v>482</v>
      </c>
      <c r="D15" s="111"/>
      <c r="E15" s="75"/>
    </row>
    <row r="16" spans="1:5" ht="30">
      <c r="A16" s="81"/>
      <c r="B16" s="94" t="str">
        <f t="array" aca="1" ref="B16" ca="1">HYPERLINK(CELL("адрес",БДДС!A1),"БДДС")</f>
        <v>БДДС</v>
      </c>
      <c r="C16" s="91" t="s">
        <v>484</v>
      </c>
      <c r="D16" s="111"/>
      <c r="E16" s="75"/>
    </row>
    <row r="17" spans="1:5">
      <c r="A17" s="81"/>
      <c r="B17" s="94" t="str">
        <f t="array" aca="1" ref="B17" ca="1">HYPERLINK(CELL("адрес",Баланс!A1),"Баланс")</f>
        <v>Баланс</v>
      </c>
      <c r="C17" s="91" t="s">
        <v>483</v>
      </c>
      <c r="D17" s="111"/>
      <c r="E17" s="75"/>
    </row>
    <row r="18" spans="1:5">
      <c r="A18" s="81"/>
      <c r="B18" s="94" t="str">
        <f t="array" aca="1" ref="B18" ca="1">HYPERLINK(CELL("адрес",НалогСвод!A1),"Налоги свод")</f>
        <v>Налоги свод</v>
      </c>
      <c r="C18" s="91" t="s">
        <v>593</v>
      </c>
      <c r="D18" s="111"/>
      <c r="E18" s="122"/>
    </row>
    <row r="19" spans="1:5" ht="45">
      <c r="A19" s="81"/>
      <c r="B19" s="95" t="str">
        <f t="array" aca="1" ref="B19" ca="1">HYPERLINK(CELL("адрес",Чувствительность!$A$1),"Чувствительность")</f>
        <v>Чувствительность</v>
      </c>
      <c r="C19" s="102" t="s">
        <v>694</v>
      </c>
      <c r="D19" s="111"/>
      <c r="E19" s="75"/>
    </row>
    <row r="20" spans="1:5">
      <c r="A20" s="81"/>
      <c r="B20" s="94" t="str">
        <f t="array" aca="1" ref="B20" ca="1">HYPERLINK(CELL("адрес",Дашборд_налоги!A1),"Дашборд налоги")</f>
        <v>Дашборд налоги</v>
      </c>
      <c r="C20" s="91" t="s">
        <v>729</v>
      </c>
      <c r="D20" s="111"/>
      <c r="E20" s="75"/>
    </row>
    <row r="21" spans="1:5" ht="30">
      <c r="A21" s="82"/>
      <c r="B21" s="94" t="str">
        <f t="array" aca="1" ref="B21" ca="1">HYPERLINK(CELL("адрес",Инвестиции!A1),"Инвестиции")</f>
        <v>Инвестиции</v>
      </c>
      <c r="C21" s="91" t="s">
        <v>774</v>
      </c>
      <c r="D21" s="111"/>
      <c r="E21" s="75"/>
    </row>
    <row r="22" spans="1:5" ht="30">
      <c r="A22" s="82"/>
      <c r="B22" s="94" t="str">
        <f t="array" aca="1" ref="B22" ca="1">HYPERLINK(CELL("адрес",Финансы!A1),"Кредиты. Финансы")</f>
        <v>Кредиты. Финансы</v>
      </c>
      <c r="C22" s="91" t="s">
        <v>472</v>
      </c>
      <c r="D22" s="111"/>
      <c r="E22" s="76"/>
    </row>
    <row r="23" spans="1:5">
      <c r="A23" s="82"/>
      <c r="B23" s="94" t="str">
        <f t="array" aca="1" ref="B23" ca="1">HYPERLINK(CELL("адрес",Выручка!A1),"Выручка")</f>
        <v>Выручка</v>
      </c>
      <c r="C23" s="91" t="s">
        <v>447</v>
      </c>
      <c r="D23" s="111"/>
      <c r="E23" s="76"/>
    </row>
    <row r="24" spans="1:5">
      <c r="A24" s="82"/>
      <c r="B24" s="94" t="str">
        <f t="array" aca="1" ref="B24" ca="1">HYPERLINK(CELL("адрес",Себестоимость!A1),"Себестоимость")</f>
        <v>Себестоимость</v>
      </c>
      <c r="C24" s="91" t="s">
        <v>231</v>
      </c>
      <c r="D24" s="111"/>
      <c r="E24" s="76"/>
    </row>
    <row r="25" spans="1:5">
      <c r="A25" s="82"/>
      <c r="B25" s="95" t="str">
        <f t="array" aca="1" ref="B25" ca="1">HYPERLINK(CELL("адрес",Персонал!A1),"ФОТ - персонал")</f>
        <v>ФОТ - персонал</v>
      </c>
      <c r="C25" s="103" t="s">
        <v>432</v>
      </c>
      <c r="D25" s="111"/>
      <c r="E25" s="76"/>
    </row>
    <row r="26" spans="1:5">
      <c r="A26" s="82"/>
      <c r="B26" s="95" t="str">
        <f t="array" aca="1" ref="B26" ca="1">HYPERLINK(CELL("адрес",Ресурсы!A1),"Ресурсы")</f>
        <v>Ресурсы</v>
      </c>
      <c r="C26" s="103" t="s">
        <v>252</v>
      </c>
      <c r="D26" s="111"/>
      <c r="E26" s="76"/>
    </row>
    <row r="27" spans="1:5" ht="30">
      <c r="A27" s="82"/>
      <c r="B27" s="94" t="str">
        <f t="array" aca="1" ref="B27" ca="1">HYPERLINK(CELL("адрес",ОбщПрРасходы!A1),"Общепроизводственные расходы")</f>
        <v>Общепроизводственные расходы</v>
      </c>
      <c r="C27" s="91" t="s">
        <v>473</v>
      </c>
      <c r="D27" s="111"/>
      <c r="E27" s="76"/>
    </row>
    <row r="28" spans="1:5" ht="30">
      <c r="A28" s="82"/>
      <c r="B28" s="94" t="str">
        <f t="array" aca="1" ref="B28" ca="1">HYPERLINK(CELL("адрес",АдмРасходы!A1),"Административно-хозяйственные расходы")</f>
        <v>Административно-хозяйственные расходы</v>
      </c>
      <c r="C28" s="91" t="s">
        <v>474</v>
      </c>
      <c r="D28" s="111"/>
      <c r="E28" s="76"/>
    </row>
    <row r="29" spans="1:5">
      <c r="A29" s="82"/>
      <c r="B29" s="94" t="str">
        <f t="array" aca="1" ref="B29" ca="1">HYPERLINK(CELL("адрес",ПрочДоходы!$A$1),"Прочие Доходы")</f>
        <v>Прочие Доходы</v>
      </c>
      <c r="C29" s="91" t="s">
        <v>475</v>
      </c>
      <c r="D29" s="111"/>
      <c r="E29" s="76"/>
    </row>
    <row r="30" spans="1:5">
      <c r="A30" s="82"/>
      <c r="B30" s="94" t="str">
        <f t="array" aca="1" ref="B30" ca="1">HYPERLINK(CELL("адрес",ПрочРасходы!$A$1),"Прочие Расходы")</f>
        <v>Прочие Расходы</v>
      </c>
      <c r="C30" s="91" t="s">
        <v>476</v>
      </c>
      <c r="D30" s="111"/>
      <c r="E30" s="76"/>
    </row>
    <row r="31" spans="1:5">
      <c r="A31" s="83"/>
      <c r="B31" s="94" t="str">
        <f t="array" aca="1" ref="B31" ca="1">HYPERLINK(CELL("адрес",НДС!A1),"НДС")</f>
        <v>НДС</v>
      </c>
      <c r="C31" s="91" t="s">
        <v>267</v>
      </c>
      <c r="D31" s="111"/>
      <c r="E31" s="76"/>
    </row>
    <row r="32" spans="1:5">
      <c r="A32" s="83"/>
      <c r="B32" s="94" t="str">
        <f t="array" aca="1" ref="B32" ca="1">HYPERLINK(CELL("адрес",НалПрибыль!A1),"Налог на Прибыль")</f>
        <v>Налог на Прибыль</v>
      </c>
      <c r="C32" s="91" t="s">
        <v>282</v>
      </c>
      <c r="D32" s="111"/>
      <c r="E32" s="76"/>
    </row>
    <row r="33" spans="1:5">
      <c r="A33" s="83"/>
      <c r="B33" s="94" t="str">
        <f t="array" aca="1" ref="B33" ca="1">HYPERLINK(CELL("адрес",НалЗемля!A1),"Налог на землю")</f>
        <v>Налог на землю</v>
      </c>
      <c r="C33" s="91" t="s">
        <v>377</v>
      </c>
      <c r="D33" s="111"/>
      <c r="E33" s="76"/>
    </row>
    <row r="34" spans="1:5">
      <c r="A34" s="83"/>
      <c r="B34" s="94" t="str">
        <f t="array" aca="1" ref="B34" ca="1">HYPERLINK(CELL("адрес",НалИмущество!A1),"Налог на имущество")</f>
        <v>Налог на имущество</v>
      </c>
      <c r="C34" s="91" t="s">
        <v>283</v>
      </c>
      <c r="D34" s="111"/>
      <c r="E34" s="76"/>
    </row>
    <row r="35" spans="1:5">
      <c r="A35" s="83"/>
      <c r="B35" s="94" t="str">
        <f t="array" aca="1" ref="B35" ca="1">HYPERLINK(CELL("адрес",УСН!A1),"УСН")</f>
        <v>УСН</v>
      </c>
      <c r="C35" s="91" t="s">
        <v>751</v>
      </c>
      <c r="D35" s="111"/>
      <c r="E35" s="76"/>
    </row>
    <row r="36" spans="1:5" ht="30">
      <c r="A36" s="84"/>
      <c r="B36" s="94" t="str">
        <f t="array" aca="1" ref="B36" ca="1">HYPERLINK(CELL("адрес",КПЭбезЛьгот!A1),"КПЭ без Льгот")</f>
        <v>КПЭ без Льгот</v>
      </c>
      <c r="C36" s="91" t="s">
        <v>601</v>
      </c>
      <c r="D36" s="111"/>
      <c r="E36" s="76"/>
    </row>
    <row r="37" spans="1:5" ht="30">
      <c r="A37" s="84"/>
      <c r="B37" s="95" t="str">
        <f t="array" aca="1" ref="B37" ca="1">HYPERLINK(CELL("адрес",БДРбезЛьгот!A1),"БДР без Льгот")</f>
        <v>БДР без Льгот</v>
      </c>
      <c r="C37" s="91" t="s">
        <v>297</v>
      </c>
      <c r="D37" s="110"/>
      <c r="E37" s="75"/>
    </row>
    <row r="38" spans="1:5" ht="30">
      <c r="A38" s="84"/>
      <c r="B38" s="95" t="str">
        <f t="array" aca="1" ref="B38" ca="1">HYPERLINK(CELL("адрес",БДДСбезЛьгот!A1),"БДДС без Льгот")</f>
        <v>БДДС без Льгот</v>
      </c>
      <c r="C38" s="91" t="s">
        <v>373</v>
      </c>
      <c r="D38" s="110"/>
      <c r="E38" s="75"/>
    </row>
    <row r="39" spans="1:5">
      <c r="A39" s="84"/>
      <c r="B39" s="95" t="str">
        <f t="array" aca="1" ref="B39" ca="1">HYPERLINK(CELL("адрес",БалансбезЛьгот!A3),"Баланс без Льгот")</f>
        <v>Баланс без Льгот</v>
      </c>
      <c r="C39" s="91" t="s">
        <v>338</v>
      </c>
      <c r="D39" s="110"/>
      <c r="E39" s="75"/>
    </row>
    <row r="40" spans="1:5" ht="30">
      <c r="A40" s="85"/>
      <c r="B40" s="96" t="s">
        <v>851</v>
      </c>
      <c r="C40" s="91" t="s">
        <v>769</v>
      </c>
      <c r="D40" s="110"/>
      <c r="E40" s="75"/>
    </row>
    <row r="41" spans="1:5" ht="30">
      <c r="A41" s="85"/>
      <c r="B41" s="96" t="s">
        <v>851</v>
      </c>
      <c r="C41" s="91" t="s">
        <v>770</v>
      </c>
      <c r="D41" s="110"/>
      <c r="E41" s="75"/>
    </row>
    <row r="42" spans="1:5" ht="30">
      <c r="A42" s="85"/>
      <c r="B42" s="96" t="s">
        <v>851</v>
      </c>
      <c r="C42" s="91" t="s">
        <v>771</v>
      </c>
      <c r="D42" s="110"/>
      <c r="E42" s="75"/>
    </row>
    <row r="43" spans="1:5" ht="24">
      <c r="A43" s="85"/>
      <c r="B43" s="96" t="s">
        <v>851</v>
      </c>
      <c r="C43" s="91" t="s">
        <v>772</v>
      </c>
      <c r="D43" s="110"/>
      <c r="E43" s="75"/>
    </row>
    <row r="44" spans="1:5" ht="45">
      <c r="A44" s="86"/>
      <c r="B44" s="94" t="str">
        <f t="array" aca="1" ref="B44" ca="1">HYPERLINK(CELL("адрес",Контроль!A1),"Контроль")</f>
        <v>Контроль</v>
      </c>
      <c r="C44" s="91" t="s">
        <v>485</v>
      </c>
      <c r="D44" s="112"/>
      <c r="E44" s="77"/>
    </row>
    <row r="47" spans="1:5">
      <c r="A47" s="87"/>
      <c r="B47" s="93"/>
      <c r="C47" s="91"/>
      <c r="D47" s="110"/>
      <c r="E47" s="75"/>
    </row>
    <row r="48" spans="1:5">
      <c r="A48" s="88"/>
      <c r="B48" s="97"/>
      <c r="C48" s="104"/>
      <c r="D48" s="110"/>
      <c r="E48" s="75"/>
    </row>
    <row r="49" spans="1:5">
      <c r="A49" s="89" t="s">
        <v>773</v>
      </c>
      <c r="B49" s="98"/>
      <c r="C49" s="105"/>
      <c r="D49" s="110"/>
      <c r="E49" s="75"/>
    </row>
    <row r="50" spans="1:5" ht="30">
      <c r="A50" s="90"/>
      <c r="B50" s="95" t="str">
        <f t="array" aca="1" ref="B50" ca="1">HYPERLINK(CELL("адрес",Описание!A1),"Описание")</f>
        <v>Описание</v>
      </c>
      <c r="C50" s="91" t="s">
        <v>478</v>
      </c>
      <c r="D50" s="110"/>
      <c r="E50" s="75"/>
    </row>
    <row r="51" spans="1:5" ht="30">
      <c r="A51" s="90"/>
      <c r="B51" s="95" t="str">
        <f t="array" aca="1" ref="B51" ca="1">HYPERLINK(CELL("адрес",Структура!A1),"Структура")</f>
        <v>Структура</v>
      </c>
      <c r="C51" s="91" t="s">
        <v>479</v>
      </c>
      <c r="D51" s="110"/>
      <c r="E51" s="75"/>
    </row>
    <row r="52" spans="1:5" ht="30">
      <c r="A52" s="90"/>
      <c r="B52" s="94" t="str">
        <f t="array" aca="1" ref="B52" ca="1">HYPERLINK(CELL("адрес",Шаблон!A1),"Шаблон листа")</f>
        <v>Шаблон листа</v>
      </c>
      <c r="C52" s="91" t="s">
        <v>13</v>
      </c>
      <c r="D52" s="110"/>
      <c r="E52" s="75"/>
    </row>
    <row r="53" spans="1:5">
      <c r="A53" s="90"/>
      <c r="B53" s="94" t="str">
        <f t="array" aca="1" ref="B53" ca="1">HYPERLINK(CELL("адрес",Дашборд_2!A4),"Дашборд №2 (без льгот)")</f>
        <v>Дашборд №2 (без льгот)</v>
      </c>
      <c r="C53" s="91" t="s">
        <v>480</v>
      </c>
      <c r="D53" s="111"/>
      <c r="E53" s="76"/>
    </row>
    <row r="54" spans="1:5" ht="30">
      <c r="A54" s="90"/>
      <c r="B54" s="94" t="str">
        <f t="array" aca="1" ref="B54" ca="1">HYPERLINK(CELL("адрес",Легенда!A1),"Легенда")</f>
        <v>Легенда</v>
      </c>
      <c r="C54" s="91" t="s">
        <v>26</v>
      </c>
      <c r="D54" s="111"/>
      <c r="E54" s="76"/>
    </row>
    <row r="55" spans="1:5" ht="45">
      <c r="A55" s="87"/>
      <c r="B55" s="93" t="s">
        <v>21</v>
      </c>
      <c r="C55" s="91" t="s">
        <v>22</v>
      </c>
      <c r="D55" s="110"/>
      <c r="E55" s="75"/>
    </row>
    <row r="56" spans="1:5">
      <c r="A56" s="87"/>
      <c r="B56" s="94"/>
      <c r="C56" s="91"/>
      <c r="D56" s="110"/>
      <c r="E56" s="75"/>
    </row>
    <row r="57" spans="1:5">
      <c r="A57" s="88"/>
      <c r="B57" s="97"/>
      <c r="C57" s="104"/>
      <c r="D57" s="110"/>
      <c r="E57" s="75"/>
    </row>
  </sheetData>
  <hyperlinks>
    <hyperlink ref="B54" location="Легенда!A1" display="Легенда"/>
    <hyperlink ref="B52" location="Шаблон!A1" display="Шаблон листа"/>
    <hyperlink ref="B44" location="Контроль!A1" display="Контроль"/>
    <hyperlink ref="B17" location="Баланс!A1" display="Баланс"/>
    <hyperlink ref="B16" location="БДДС!A1" display="БДДС"/>
    <hyperlink ref="B15" location="БДР!A1" display="БДР"/>
    <hyperlink ref="B5" location="Оглавление!A1" display="Оглавление"/>
    <hyperlink ref="C2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>
    <oddFooter>&amp;C&amp;9Страница  &amp;P из &amp;N&amp;R&amp;G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75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4" sqref="B54"/>
    </sheetView>
  </sheetViews>
  <sheetFormatPr defaultColWidth="0" defaultRowHeight="15" customHeight="1" zeroHeight="1"/>
  <cols>
    <col min="1" max="1" width="8.85546875" customWidth="1"/>
    <col min="2" max="2" width="83.140625" customWidth="1"/>
    <col min="3" max="4" width="28.5703125" customWidth="1"/>
    <col min="5" max="5" width="9.42578125" customWidth="1"/>
    <col min="6" max="7" width="0" hidden="1" customWidth="1"/>
    <col min="8" max="16384" width="8.85546875" hidden="1"/>
  </cols>
  <sheetData>
    <row r="1" spans="1:5">
      <c r="A1" s="71"/>
      <c r="B1" s="71"/>
      <c r="C1" s="71"/>
      <c r="D1" s="71"/>
      <c r="E1" s="71"/>
    </row>
    <row r="2" spans="1:5">
      <c r="A2" s="71"/>
      <c r="B2" s="71"/>
      <c r="C2" s="71"/>
      <c r="D2" s="71"/>
      <c r="E2" s="71"/>
    </row>
    <row r="3" spans="1:5" ht="18.75">
      <c r="A3" s="71"/>
      <c r="B3" s="71"/>
      <c r="C3" s="73"/>
      <c r="D3" s="71"/>
      <c r="E3" s="71"/>
    </row>
    <row r="4" spans="1:5" ht="6.6" customHeight="1">
      <c r="A4" s="72"/>
      <c r="B4" s="72"/>
      <c r="C4" s="74"/>
      <c r="D4" s="72"/>
      <c r="E4" s="72"/>
    </row>
    <row r="5" spans="1:5" s="709" customFormat="1" ht="77.45" customHeight="1">
      <c r="A5" s="721"/>
      <c r="B5" s="948" t="s">
        <v>1025</v>
      </c>
      <c r="C5" s="949"/>
      <c r="D5" s="727" t="s">
        <v>988</v>
      </c>
    </row>
    <row r="6" spans="1:5" s="709" customFormat="1" ht="37.5">
      <c r="A6" s="721"/>
      <c r="B6" s="725" t="s">
        <v>989</v>
      </c>
      <c r="C6" s="720"/>
      <c r="D6" s="723"/>
    </row>
    <row r="7" spans="1:5" s="709" customFormat="1" ht="56.25">
      <c r="A7" s="721"/>
      <c r="B7" s="713" t="s">
        <v>990</v>
      </c>
      <c r="C7" s="720"/>
      <c r="D7" s="724" t="b">
        <v>1</v>
      </c>
    </row>
    <row r="8" spans="1:5" s="709" customFormat="1" ht="29.1" customHeight="1">
      <c r="A8" s="721"/>
      <c r="B8" s="713" t="s">
        <v>991</v>
      </c>
      <c r="C8" s="720"/>
      <c r="D8" s="724" t="b">
        <v>1</v>
      </c>
    </row>
    <row r="9" spans="1:5" s="709" customFormat="1" ht="75">
      <c r="A9" s="721"/>
      <c r="B9" s="713" t="s">
        <v>992</v>
      </c>
      <c r="C9" s="720"/>
      <c r="D9" s="724" t="b">
        <v>1</v>
      </c>
    </row>
    <row r="10" spans="1:5" s="709" customFormat="1" ht="42.6" customHeight="1">
      <c r="A10" s="721"/>
      <c r="B10" s="713" t="s">
        <v>993</v>
      </c>
      <c r="C10" s="720"/>
      <c r="D10" s="724" t="b">
        <v>1</v>
      </c>
    </row>
    <row r="11" spans="1:5" s="709" customFormat="1" ht="112.5">
      <c r="A11" s="721"/>
      <c r="B11" s="713" t="s">
        <v>994</v>
      </c>
      <c r="C11" s="720"/>
      <c r="D11" s="724" t="b">
        <v>1</v>
      </c>
    </row>
    <row r="12" spans="1:5" s="709" customFormat="1" ht="75">
      <c r="A12" s="721"/>
      <c r="B12" s="713" t="s">
        <v>995</v>
      </c>
      <c r="C12" s="720"/>
      <c r="D12" s="724" t="b">
        <v>1</v>
      </c>
    </row>
    <row r="13" spans="1:5" s="709" customFormat="1" ht="75">
      <c r="A13" s="721"/>
      <c r="B13" s="713" t="s">
        <v>996</v>
      </c>
      <c r="C13" s="720"/>
      <c r="D13" s="724" t="b">
        <v>1</v>
      </c>
    </row>
    <row r="14" spans="1:5" s="709" customFormat="1" ht="112.5">
      <c r="A14" s="721"/>
      <c r="B14" s="713" t="s">
        <v>997</v>
      </c>
      <c r="C14" s="720"/>
      <c r="D14" s="724" t="b">
        <v>1</v>
      </c>
    </row>
    <row r="15" spans="1:5" s="709" customFormat="1" ht="18.75">
      <c r="A15" s="721"/>
      <c r="B15" s="713"/>
      <c r="C15" s="720"/>
      <c r="D15" s="724"/>
    </row>
    <row r="16" spans="1:5" s="709" customFormat="1" ht="56.25">
      <c r="A16" s="721"/>
      <c r="B16" s="725" t="s">
        <v>998</v>
      </c>
      <c r="C16" s="720"/>
      <c r="D16" s="724"/>
    </row>
    <row r="17" spans="1:4" s="709" customFormat="1" ht="28.15" customHeight="1">
      <c r="A17" s="721"/>
      <c r="B17" s="713" t="s">
        <v>999</v>
      </c>
      <c r="C17" s="720"/>
      <c r="D17" s="724" t="b">
        <v>1</v>
      </c>
    </row>
    <row r="18" spans="1:4" s="709" customFormat="1" ht="28.15" customHeight="1">
      <c r="A18" s="721"/>
      <c r="B18" s="713" t="s">
        <v>1000</v>
      </c>
      <c r="C18" s="720"/>
      <c r="D18" s="724" t="b">
        <v>1</v>
      </c>
    </row>
    <row r="19" spans="1:4" s="709" customFormat="1" ht="28.15" customHeight="1">
      <c r="A19" s="721"/>
      <c r="B19" s="713" t="s">
        <v>1001</v>
      </c>
      <c r="C19" s="720"/>
      <c r="D19" s="724" t="b">
        <v>1</v>
      </c>
    </row>
    <row r="20" spans="1:4" s="709" customFormat="1" ht="18.75">
      <c r="A20" s="721"/>
      <c r="B20" s="713"/>
      <c r="C20" s="720"/>
      <c r="D20" s="724"/>
    </row>
    <row r="21" spans="1:4" s="709" customFormat="1" ht="23.1" customHeight="1">
      <c r="A21" s="721"/>
      <c r="B21" s="725" t="s">
        <v>1002</v>
      </c>
      <c r="C21" s="726">
        <f>COUNTIF(D7:D19,TRUE)</f>
        <v>11</v>
      </c>
      <c r="D21" s="724"/>
    </row>
    <row r="22" spans="1:4" s="709" customFormat="1" ht="23.1" customHeight="1">
      <c r="A22" s="721"/>
      <c r="B22" s="725" t="s">
        <v>1003</v>
      </c>
      <c r="C22" s="726">
        <f>COUNTA(D7:D19)</f>
        <v>11</v>
      </c>
      <c r="D22" s="723"/>
    </row>
    <row r="23" spans="1:4" s="709" customFormat="1" ht="18.75">
      <c r="A23" s="721"/>
      <c r="B23" s="722"/>
      <c r="C23" s="723"/>
      <c r="D23" s="723"/>
    </row>
    <row r="24" spans="1:4" s="709" customFormat="1" ht="83.65" customHeight="1">
      <c r="A24" s="721"/>
      <c r="B24" s="948" t="s">
        <v>1026</v>
      </c>
      <c r="C24" s="949"/>
      <c r="D24" s="727" t="s">
        <v>987</v>
      </c>
    </row>
    <row r="25" spans="1:4" s="709" customFormat="1" ht="20.25" customHeight="1">
      <c r="A25" s="721"/>
      <c r="B25" s="742" t="s">
        <v>1028</v>
      </c>
      <c r="C25" s="743"/>
      <c r="D25" s="727"/>
    </row>
    <row r="26" spans="1:4" s="709" customFormat="1" ht="22.5" customHeight="1">
      <c r="A26" s="721"/>
      <c r="B26" s="733" t="s">
        <v>503</v>
      </c>
      <c r="C26" s="733" t="s">
        <v>1004</v>
      </c>
      <c r="D26" s="727"/>
    </row>
    <row r="27" spans="1:4" s="709" customFormat="1" ht="37.5">
      <c r="A27" s="721"/>
      <c r="B27" s="725" t="s">
        <v>1029</v>
      </c>
      <c r="C27" s="735"/>
      <c r="D27" s="727"/>
    </row>
    <row r="28" spans="1:4" s="709" customFormat="1" ht="75">
      <c r="A28" s="721"/>
      <c r="B28" s="728" t="s">
        <v>1010</v>
      </c>
      <c r="C28" s="735">
        <v>10</v>
      </c>
      <c r="D28" s="727"/>
    </row>
    <row r="29" spans="1:4" s="709" customFormat="1" ht="56.25">
      <c r="A29" s="721"/>
      <c r="B29" s="728" t="s">
        <v>1011</v>
      </c>
      <c r="C29" s="735"/>
      <c r="D29" s="727"/>
    </row>
    <row r="30" spans="1:4" s="709" customFormat="1" ht="18.75">
      <c r="A30" s="721"/>
      <c r="B30" s="728" t="s">
        <v>1005</v>
      </c>
      <c r="C30" s="719"/>
      <c r="D30" s="727"/>
    </row>
    <row r="31" spans="1:4" s="709" customFormat="1" ht="37.5">
      <c r="A31" s="721"/>
      <c r="B31" s="725" t="s">
        <v>1030</v>
      </c>
      <c r="C31" s="719"/>
      <c r="D31" s="727"/>
    </row>
    <row r="32" spans="1:4" s="709" customFormat="1" ht="112.5">
      <c r="A32" s="721"/>
      <c r="B32" s="728" t="s">
        <v>1012</v>
      </c>
      <c r="C32" s="719">
        <v>3</v>
      </c>
      <c r="D32" s="727"/>
    </row>
    <row r="33" spans="1:4" s="709" customFormat="1" ht="102" customHeight="1">
      <c r="A33" s="721"/>
      <c r="B33" s="728" t="s">
        <v>1013</v>
      </c>
      <c r="C33" s="719"/>
      <c r="D33" s="723"/>
    </row>
    <row r="34" spans="1:4" s="709" customFormat="1" ht="18.75">
      <c r="A34" s="721"/>
      <c r="B34" s="728" t="s">
        <v>1005</v>
      </c>
      <c r="C34" s="719"/>
      <c r="D34" s="723"/>
    </row>
    <row r="35" spans="1:4" s="709" customFormat="1" ht="37.5">
      <c r="A35" s="721"/>
      <c r="B35" s="725" t="s">
        <v>1031</v>
      </c>
      <c r="C35" s="719"/>
      <c r="D35" s="723"/>
    </row>
    <row r="36" spans="1:4" s="709" customFormat="1" ht="75">
      <c r="A36" s="721"/>
      <c r="B36" s="728" t="s">
        <v>1015</v>
      </c>
      <c r="C36" s="719">
        <v>2</v>
      </c>
      <c r="D36" s="723"/>
    </row>
    <row r="37" spans="1:4" s="709" customFormat="1" ht="18.75">
      <c r="A37" s="721"/>
      <c r="B37" s="728" t="s">
        <v>1006</v>
      </c>
      <c r="C37" s="719"/>
      <c r="D37" s="723"/>
    </row>
    <row r="38" spans="1:4" s="709" customFormat="1" ht="37.5">
      <c r="A38" s="721"/>
      <c r="B38" s="725" t="s">
        <v>1032</v>
      </c>
      <c r="C38" s="719"/>
      <c r="D38" s="723"/>
    </row>
    <row r="39" spans="1:4" s="709" customFormat="1" ht="56.25">
      <c r="A39" s="721"/>
      <c r="B39" s="728" t="s">
        <v>1014</v>
      </c>
      <c r="C39" s="719">
        <v>3</v>
      </c>
      <c r="D39" s="723"/>
    </row>
    <row r="40" spans="1:4" s="709" customFormat="1" ht="61.5" customHeight="1">
      <c r="A40" s="721"/>
      <c r="B40" s="728" t="s">
        <v>1016</v>
      </c>
      <c r="C40" s="719"/>
      <c r="D40" s="723"/>
    </row>
    <row r="41" spans="1:4" s="709" customFormat="1" ht="18.75">
      <c r="A41" s="721"/>
      <c r="B41" s="728" t="s">
        <v>1005</v>
      </c>
      <c r="C41" s="719"/>
      <c r="D41" s="723"/>
    </row>
    <row r="42" spans="1:4" s="709" customFormat="1" ht="37.5">
      <c r="A42" s="721"/>
      <c r="B42" s="725" t="s">
        <v>1033</v>
      </c>
      <c r="C42" s="719"/>
      <c r="D42" s="723"/>
    </row>
    <row r="43" spans="1:4" s="709" customFormat="1" ht="56.25">
      <c r="A43" s="721"/>
      <c r="B43" s="728" t="s">
        <v>1017</v>
      </c>
      <c r="C43" s="719">
        <v>3</v>
      </c>
      <c r="D43" s="723"/>
    </row>
    <row r="44" spans="1:4" s="709" customFormat="1" ht="168.75">
      <c r="A44" s="721"/>
      <c r="B44" s="728" t="s">
        <v>1018</v>
      </c>
      <c r="C44" s="719"/>
      <c r="D44" s="723"/>
    </row>
    <row r="45" spans="1:4" s="709" customFormat="1" ht="18.75">
      <c r="A45" s="721"/>
      <c r="B45" s="728" t="s">
        <v>1007</v>
      </c>
      <c r="C45" s="719"/>
      <c r="D45" s="723"/>
    </row>
    <row r="46" spans="1:4" s="709" customFormat="1" ht="37.5">
      <c r="A46" s="721"/>
      <c r="B46" s="725" t="s">
        <v>1034</v>
      </c>
      <c r="C46" s="719"/>
      <c r="D46" s="723"/>
    </row>
    <row r="47" spans="1:4" s="709" customFormat="1" ht="75">
      <c r="A47" s="721"/>
      <c r="B47" s="728" t="s">
        <v>1230</v>
      </c>
      <c r="C47" s="719">
        <v>1</v>
      </c>
      <c r="D47" s="723"/>
    </row>
    <row r="48" spans="1:4" s="709" customFormat="1" ht="18.75">
      <c r="A48" s="721"/>
      <c r="B48" s="728" t="s">
        <v>1006</v>
      </c>
      <c r="C48" s="719"/>
      <c r="D48" s="723"/>
    </row>
    <row r="49" spans="1:4" s="709" customFormat="1" ht="37.5">
      <c r="A49" s="721"/>
      <c r="B49" s="725" t="s">
        <v>1037</v>
      </c>
      <c r="C49" s="719"/>
      <c r="D49" s="723"/>
    </row>
    <row r="50" spans="1:4" s="709" customFormat="1" ht="93.75">
      <c r="A50" s="721"/>
      <c r="B50" s="728" t="s">
        <v>1019</v>
      </c>
      <c r="C50" s="719">
        <v>2</v>
      </c>
      <c r="D50" s="723"/>
    </row>
    <row r="51" spans="1:4" s="709" customFormat="1" ht="37.5">
      <c r="A51" s="721"/>
      <c r="B51" s="725" t="s">
        <v>1035</v>
      </c>
      <c r="C51" s="719"/>
      <c r="D51" s="723"/>
    </row>
    <row r="52" spans="1:4" s="709" customFormat="1" ht="75">
      <c r="A52" s="721"/>
      <c r="B52" s="728" t="s">
        <v>1020</v>
      </c>
      <c r="C52" s="719">
        <v>3</v>
      </c>
      <c r="D52" s="723"/>
    </row>
    <row r="53" spans="1:4" s="709" customFormat="1" ht="93.75">
      <c r="A53" s="721"/>
      <c r="B53" s="728" t="s">
        <v>1021</v>
      </c>
      <c r="C53" s="719"/>
      <c r="D53" s="723"/>
    </row>
    <row r="54" spans="1:4" s="709" customFormat="1" ht="246" customHeight="1">
      <c r="A54" s="721"/>
      <c r="B54" s="728" t="s">
        <v>1036</v>
      </c>
      <c r="C54" s="719"/>
      <c r="D54" s="723"/>
    </row>
    <row r="55" spans="1:4" s="741" customFormat="1" ht="18.75">
      <c r="A55" s="739"/>
      <c r="B55" s="738" t="s">
        <v>372</v>
      </c>
      <c r="C55" s="737">
        <f>SUM(C27:C54)</f>
        <v>27</v>
      </c>
      <c r="D55" s="740"/>
    </row>
    <row r="56" spans="1:4" s="709" customFormat="1" ht="39">
      <c r="A56" s="721"/>
      <c r="B56" s="744" t="s">
        <v>1027</v>
      </c>
      <c r="C56" s="745">
        <v>18</v>
      </c>
      <c r="D56" s="723"/>
    </row>
    <row r="57" spans="1:4" s="709" customFormat="1" ht="21">
      <c r="A57" s="721"/>
      <c r="B57" s="742" t="s">
        <v>1038</v>
      </c>
      <c r="C57" s="743"/>
      <c r="D57" s="723"/>
    </row>
    <row r="58" spans="1:4" s="709" customFormat="1" ht="56.25">
      <c r="A58" s="721"/>
      <c r="B58" s="725" t="s">
        <v>1039</v>
      </c>
      <c r="C58" s="719"/>
      <c r="D58" s="723"/>
    </row>
    <row r="59" spans="1:4" s="709" customFormat="1" ht="119.25" customHeight="1">
      <c r="A59" s="721"/>
      <c r="B59" s="728" t="s">
        <v>1022</v>
      </c>
      <c r="C59" s="719">
        <v>3</v>
      </c>
      <c r="D59" s="723"/>
    </row>
    <row r="60" spans="1:4" s="709" customFormat="1" ht="23.25" customHeight="1">
      <c r="A60" s="721"/>
      <c r="B60" s="728" t="s">
        <v>1008</v>
      </c>
      <c r="C60" s="719"/>
      <c r="D60" s="723"/>
    </row>
    <row r="61" spans="1:4" s="709" customFormat="1" ht="56.25">
      <c r="A61" s="721"/>
      <c r="B61" s="725" t="s">
        <v>1040</v>
      </c>
      <c r="C61" s="719"/>
      <c r="D61" s="723"/>
    </row>
    <row r="62" spans="1:4" s="709" customFormat="1" ht="112.5">
      <c r="A62" s="721"/>
      <c r="B62" s="728" t="s">
        <v>1041</v>
      </c>
      <c r="C62" s="719">
        <v>3</v>
      </c>
      <c r="D62" s="723"/>
    </row>
    <row r="63" spans="1:4" s="709" customFormat="1" ht="18.75">
      <c r="A63" s="721"/>
      <c r="B63" s="728" t="s">
        <v>1008</v>
      </c>
      <c r="C63" s="719"/>
      <c r="D63" s="723"/>
    </row>
    <row r="64" spans="1:4" s="709" customFormat="1" ht="56.25">
      <c r="A64" s="721"/>
      <c r="B64" s="725" t="s">
        <v>1042</v>
      </c>
      <c r="C64" s="719"/>
      <c r="D64" s="723"/>
    </row>
    <row r="65" spans="1:4" s="709" customFormat="1" ht="56.25">
      <c r="A65" s="721"/>
      <c r="B65" s="728" t="s">
        <v>1043</v>
      </c>
      <c r="C65" s="719">
        <v>3</v>
      </c>
      <c r="D65" s="723"/>
    </row>
    <row r="66" spans="1:4" s="709" customFormat="1" ht="18.75">
      <c r="A66" s="721"/>
      <c r="B66" s="728" t="s">
        <v>1008</v>
      </c>
      <c r="C66" s="719"/>
      <c r="D66" s="723"/>
    </row>
    <row r="67" spans="1:4" s="736" customFormat="1" ht="18.75">
      <c r="A67" s="73"/>
      <c r="B67" s="738" t="s">
        <v>372</v>
      </c>
      <c r="C67" s="737">
        <f>SUM(C59:C66)</f>
        <v>9</v>
      </c>
      <c r="D67" s="723"/>
    </row>
    <row r="68" spans="1:4" s="709" customFormat="1" ht="39">
      <c r="A68" s="721"/>
      <c r="B68" s="744" t="s">
        <v>1027</v>
      </c>
      <c r="C68" s="745">
        <v>9</v>
      </c>
      <c r="D68" s="723"/>
    </row>
    <row r="69" spans="1:4" s="709" customFormat="1" ht="78.75">
      <c r="A69" s="721"/>
      <c r="B69" s="746" t="s">
        <v>1009</v>
      </c>
      <c r="C69" s="719"/>
      <c r="D69" s="723"/>
    </row>
    <row r="70" spans="1:4" s="709" customFormat="1" ht="18.75">
      <c r="A70" s="721"/>
      <c r="B70" s="722"/>
      <c r="C70" s="723"/>
      <c r="D70" s="723"/>
    </row>
    <row r="71" spans="1:4" s="709" customFormat="1" ht="18.75">
      <c r="A71" s="721"/>
      <c r="B71" s="722"/>
      <c r="C71" s="723"/>
      <c r="D71" s="723"/>
    </row>
    <row r="72" spans="1:4" s="709" customFormat="1" ht="18.75">
      <c r="A72" s="721"/>
      <c r="B72" s="722"/>
      <c r="C72" s="723"/>
      <c r="D72" s="723"/>
    </row>
    <row r="73" spans="1:4" s="709" customFormat="1" ht="18.75">
      <c r="A73" s="721"/>
      <c r="B73" s="722"/>
      <c r="C73" s="723"/>
      <c r="D73" s="723"/>
    </row>
    <row r="74" spans="1:4" s="709" customFormat="1" ht="18.75">
      <c r="A74" s="721"/>
      <c r="B74" s="722"/>
      <c r="C74" s="723"/>
      <c r="D74" s="723"/>
    </row>
    <row r="75" spans="1:4" s="709" customFormat="1" ht="18.75">
      <c r="A75" s="721"/>
      <c r="B75" s="722"/>
      <c r="C75" s="723"/>
      <c r="D75" s="723"/>
    </row>
    <row r="76" spans="1:4" s="709" customFormat="1" ht="18.75">
      <c r="A76" s="721"/>
      <c r="B76" s="722"/>
      <c r="C76" s="723"/>
      <c r="D76" s="723"/>
    </row>
    <row r="77" spans="1:4" s="709" customFormat="1" ht="18.75">
      <c r="A77" s="721"/>
      <c r="B77" s="722"/>
      <c r="C77" s="723"/>
      <c r="D77" s="723"/>
    </row>
    <row r="78" spans="1:4" s="709" customFormat="1" ht="18.75">
      <c r="A78" s="721"/>
      <c r="B78" s="722"/>
      <c r="C78" s="723"/>
      <c r="D78" s="723"/>
    </row>
    <row r="79" spans="1:4" s="709" customFormat="1" ht="18.75">
      <c r="A79" s="721"/>
      <c r="B79" s="722"/>
      <c r="C79" s="723"/>
      <c r="D79" s="723"/>
    </row>
    <row r="80" spans="1:4" s="709" customFormat="1" ht="18.75">
      <c r="A80" s="721"/>
      <c r="B80" s="722"/>
      <c r="C80" s="723"/>
      <c r="D80" s="723"/>
    </row>
    <row r="81" spans="1:4" s="709" customFormat="1" ht="18.75">
      <c r="A81" s="721"/>
      <c r="B81" s="722"/>
      <c r="C81" s="723"/>
      <c r="D81" s="723"/>
    </row>
    <row r="82" spans="1:4" s="709" customFormat="1" ht="18.75">
      <c r="A82" s="721"/>
      <c r="B82" s="722"/>
      <c r="C82" s="723"/>
      <c r="D82" s="723"/>
    </row>
    <row r="83" spans="1:4" s="709" customFormat="1" ht="18.75">
      <c r="A83" s="721"/>
      <c r="B83" s="722"/>
      <c r="C83" s="723"/>
      <c r="D83" s="723"/>
    </row>
    <row r="84" spans="1:4" s="709" customFormat="1" ht="18.75">
      <c r="A84" s="721"/>
      <c r="B84" s="722"/>
      <c r="C84" s="723"/>
      <c r="D84" s="723"/>
    </row>
    <row r="85" spans="1:4" s="709" customFormat="1" ht="18.75">
      <c r="A85" s="721"/>
      <c r="B85" s="722"/>
      <c r="C85" s="723"/>
      <c r="D85" s="723"/>
    </row>
    <row r="86" spans="1:4" s="709" customFormat="1" ht="18.75">
      <c r="A86" s="721"/>
      <c r="B86" s="722"/>
      <c r="C86" s="723"/>
      <c r="D86" s="723"/>
    </row>
    <row r="87" spans="1:4" s="709" customFormat="1" ht="18.75">
      <c r="A87" s="721"/>
      <c r="B87" s="722"/>
      <c r="C87" s="723"/>
      <c r="D87" s="723"/>
    </row>
    <row r="88" spans="1:4" s="709" customFormat="1" ht="18.75">
      <c r="A88" s="721"/>
      <c r="B88" s="722"/>
      <c r="C88" s="723"/>
      <c r="D88" s="723"/>
    </row>
    <row r="89" spans="1:4" s="709" customFormat="1" ht="18.75">
      <c r="A89" s="721"/>
      <c r="B89" s="722"/>
      <c r="C89" s="723"/>
      <c r="D89" s="723"/>
    </row>
    <row r="90" spans="1:4" s="709" customFormat="1" ht="18.75">
      <c r="A90" s="721"/>
      <c r="B90" s="722"/>
      <c r="C90" s="723"/>
      <c r="D90" s="723"/>
    </row>
    <row r="91" spans="1:4" s="709" customFormat="1" ht="18.75">
      <c r="A91" s="721"/>
      <c r="B91" s="722"/>
      <c r="C91" s="723"/>
      <c r="D91" s="723"/>
    </row>
    <row r="92" spans="1:4" s="709" customFormat="1" ht="18.75">
      <c r="A92" s="721"/>
      <c r="B92" s="722"/>
      <c r="C92" s="723"/>
      <c r="D92" s="723"/>
    </row>
    <row r="93" spans="1:4" s="709" customFormat="1" ht="18.75">
      <c r="A93" s="721"/>
      <c r="B93" s="722"/>
      <c r="C93" s="723"/>
      <c r="D93" s="723"/>
    </row>
    <row r="94" spans="1:4" s="709" customFormat="1" ht="18.75">
      <c r="A94" s="721"/>
      <c r="B94" s="722"/>
      <c r="C94" s="723"/>
      <c r="D94" s="723"/>
    </row>
    <row r="95" spans="1:4" s="709" customFormat="1" ht="18.75">
      <c r="A95" s="721"/>
      <c r="B95" s="722"/>
      <c r="C95" s="723"/>
      <c r="D95" s="723"/>
    </row>
    <row r="96" spans="1:4" s="709" customFormat="1" ht="18.75">
      <c r="A96" s="721"/>
      <c r="B96" s="722"/>
      <c r="C96" s="723"/>
      <c r="D96" s="723"/>
    </row>
    <row r="97" spans="1:4" s="709" customFormat="1" ht="18.75">
      <c r="A97" s="721"/>
      <c r="B97" s="722"/>
      <c r="C97" s="723"/>
      <c r="D97" s="723"/>
    </row>
    <row r="98" spans="1:4" s="709" customFormat="1" ht="18.75">
      <c r="A98" s="721"/>
      <c r="B98" s="722"/>
      <c r="C98" s="723"/>
      <c r="D98" s="723"/>
    </row>
    <row r="99" spans="1:4" s="709" customFormat="1" ht="18.75">
      <c r="A99" s="721"/>
      <c r="B99" s="722"/>
      <c r="C99" s="723"/>
      <c r="D99" s="723"/>
    </row>
    <row r="100" spans="1:4" s="709" customFormat="1" ht="18.75">
      <c r="A100" s="721"/>
      <c r="B100" s="722"/>
      <c r="C100" s="723"/>
      <c r="D100" s="723"/>
    </row>
    <row r="101" spans="1:4" s="709" customFormat="1" ht="18.75">
      <c r="A101" s="721"/>
      <c r="B101" s="722"/>
      <c r="C101" s="723"/>
      <c r="D101" s="723"/>
    </row>
    <row r="102" spans="1:4" s="709" customFormat="1" ht="18.75">
      <c r="A102" s="721"/>
      <c r="B102" s="722"/>
      <c r="C102" s="723"/>
      <c r="D102" s="723"/>
    </row>
    <row r="103" spans="1:4" s="709" customFormat="1" ht="18.75">
      <c r="A103" s="721"/>
      <c r="B103" s="722"/>
      <c r="C103" s="723"/>
      <c r="D103" s="723"/>
    </row>
    <row r="104" spans="1:4" s="709" customFormat="1" ht="18.75">
      <c r="A104" s="721"/>
      <c r="B104" s="722"/>
      <c r="C104" s="723"/>
      <c r="D104" s="723"/>
    </row>
    <row r="105" spans="1:4" s="709" customFormat="1" ht="18.75">
      <c r="A105" s="721"/>
      <c r="B105" s="722"/>
      <c r="C105" s="723"/>
      <c r="D105" s="723"/>
    </row>
    <row r="106" spans="1:4" s="709" customFormat="1" ht="18.75">
      <c r="A106" s="721"/>
      <c r="B106" s="722"/>
      <c r="C106" s="723"/>
      <c r="D106" s="723"/>
    </row>
    <row r="107" spans="1:4" s="709" customFormat="1" ht="18.75">
      <c r="A107" s="721"/>
      <c r="B107" s="722"/>
      <c r="C107" s="723"/>
      <c r="D107" s="723"/>
    </row>
    <row r="108" spans="1:4" s="709" customFormat="1" ht="18.75">
      <c r="A108" s="721"/>
      <c r="B108" s="722"/>
      <c r="C108" s="723"/>
      <c r="D108" s="723"/>
    </row>
    <row r="109" spans="1:4" s="709" customFormat="1" ht="18.75">
      <c r="A109" s="721"/>
      <c r="B109" s="722"/>
      <c r="C109" s="723"/>
      <c r="D109" s="723"/>
    </row>
    <row r="110" spans="1:4" s="709" customFormat="1" ht="18.75">
      <c r="A110" s="721"/>
      <c r="B110" s="722"/>
      <c r="C110" s="723"/>
      <c r="D110" s="723"/>
    </row>
    <row r="111" spans="1:4" s="709" customFormat="1" ht="18.75">
      <c r="A111" s="721"/>
      <c r="B111" s="722"/>
      <c r="C111" s="723"/>
      <c r="D111" s="723"/>
    </row>
    <row r="112" spans="1:4" s="709" customFormat="1" ht="18.75">
      <c r="A112" s="721"/>
      <c r="B112" s="722"/>
      <c r="C112" s="723"/>
      <c r="D112" s="723"/>
    </row>
    <row r="113" spans="1:4" s="709" customFormat="1" ht="18.75">
      <c r="A113" s="721"/>
      <c r="B113" s="722"/>
      <c r="C113" s="723"/>
      <c r="D113" s="723"/>
    </row>
    <row r="114" spans="1:4" s="709" customFormat="1" ht="18.75">
      <c r="A114" s="721"/>
      <c r="B114" s="722"/>
      <c r="C114" s="723"/>
      <c r="D114" s="723"/>
    </row>
    <row r="115" spans="1:4" s="709" customFormat="1" ht="18.75">
      <c r="A115" s="721"/>
      <c r="B115" s="722"/>
      <c r="C115" s="723"/>
      <c r="D115" s="723"/>
    </row>
    <row r="116" spans="1:4" s="709" customFormat="1" ht="18.75">
      <c r="A116" s="721"/>
      <c r="B116" s="722"/>
      <c r="C116" s="723"/>
      <c r="D116" s="723"/>
    </row>
    <row r="117" spans="1:4" s="709" customFormat="1" ht="18.75">
      <c r="A117" s="721"/>
      <c r="B117" s="722"/>
      <c r="C117" s="723"/>
      <c r="D117" s="723"/>
    </row>
    <row r="118" spans="1:4" s="709" customFormat="1" ht="18.75">
      <c r="A118" s="721"/>
      <c r="B118" s="722"/>
      <c r="C118" s="723"/>
      <c r="D118" s="723"/>
    </row>
    <row r="119" spans="1:4" s="709" customFormat="1" ht="18.75">
      <c r="A119" s="721"/>
      <c r="B119" s="722"/>
      <c r="C119" s="723"/>
      <c r="D119" s="723"/>
    </row>
    <row r="120" spans="1:4" s="709" customFormat="1" ht="18.75">
      <c r="A120" s="721"/>
      <c r="B120" s="722"/>
      <c r="C120" s="723"/>
      <c r="D120" s="723"/>
    </row>
    <row r="121" spans="1:4" s="709" customFormat="1" ht="18.75">
      <c r="A121" s="721"/>
      <c r="B121" s="722"/>
      <c r="C121" s="723"/>
      <c r="D121" s="723"/>
    </row>
    <row r="122" spans="1:4" s="709" customFormat="1" ht="18.75">
      <c r="A122" s="721"/>
      <c r="B122" s="722"/>
      <c r="C122" s="723"/>
      <c r="D122" s="723"/>
    </row>
    <row r="123" spans="1:4" s="709" customFormat="1" ht="18.75">
      <c r="A123" s="721"/>
      <c r="B123" s="722"/>
      <c r="C123" s="723"/>
      <c r="D123" s="723"/>
    </row>
    <row r="124" spans="1:4" s="709" customFormat="1" ht="18.75">
      <c r="A124" s="721"/>
      <c r="B124" s="722"/>
      <c r="C124" s="723"/>
      <c r="D124" s="723"/>
    </row>
    <row r="125" spans="1:4" s="709" customFormat="1" ht="18.75">
      <c r="A125" s="721"/>
      <c r="B125" s="722"/>
      <c r="C125" s="723"/>
      <c r="D125" s="723"/>
    </row>
    <row r="126" spans="1:4" s="709" customFormat="1" ht="18.75">
      <c r="A126" s="721"/>
      <c r="B126" s="722"/>
      <c r="C126" s="723"/>
      <c r="D126" s="723"/>
    </row>
    <row r="127" spans="1:4" s="709" customFormat="1" ht="18.75">
      <c r="A127" s="721"/>
      <c r="B127" s="722"/>
      <c r="C127" s="723"/>
      <c r="D127" s="723"/>
    </row>
    <row r="128" spans="1:4" s="709" customFormat="1" ht="18.75">
      <c r="A128" s="721"/>
      <c r="B128" s="722"/>
      <c r="C128" s="723"/>
      <c r="D128" s="723"/>
    </row>
    <row r="129" spans="1:4" s="709" customFormat="1" ht="18.75">
      <c r="A129" s="721"/>
      <c r="B129" s="722"/>
      <c r="C129" s="723"/>
      <c r="D129" s="723"/>
    </row>
    <row r="130" spans="1:4" s="709" customFormat="1" ht="18.75">
      <c r="A130" s="721"/>
      <c r="B130" s="722"/>
      <c r="C130" s="723"/>
      <c r="D130" s="723"/>
    </row>
    <row r="131" spans="1:4" s="709" customFormat="1" ht="18.75">
      <c r="A131" s="721"/>
      <c r="B131" s="722"/>
      <c r="C131" s="723"/>
      <c r="D131" s="723"/>
    </row>
    <row r="132" spans="1:4" s="709" customFormat="1" ht="18.75">
      <c r="A132" s="721"/>
      <c r="B132" s="722"/>
      <c r="C132" s="723"/>
      <c r="D132" s="723"/>
    </row>
    <row r="133" spans="1:4" s="709" customFormat="1" ht="18.75">
      <c r="A133" s="721"/>
      <c r="B133" s="722"/>
      <c r="C133" s="723"/>
      <c r="D133" s="723"/>
    </row>
    <row r="134" spans="1:4" s="709" customFormat="1" ht="18.75">
      <c r="A134" s="721"/>
      <c r="B134" s="722"/>
      <c r="C134" s="723"/>
      <c r="D134" s="723"/>
    </row>
    <row r="135" spans="1:4" s="709" customFormat="1" ht="18.75">
      <c r="A135" s="721"/>
      <c r="B135" s="722"/>
      <c r="C135" s="723"/>
      <c r="D135" s="723"/>
    </row>
    <row r="136" spans="1:4" s="709" customFormat="1" ht="18.75">
      <c r="A136" s="721"/>
      <c r="B136" s="722"/>
      <c r="C136" s="723"/>
      <c r="D136" s="723"/>
    </row>
    <row r="137" spans="1:4" s="709" customFormat="1" ht="18.75">
      <c r="A137" s="721"/>
      <c r="B137" s="722"/>
      <c r="C137" s="723"/>
      <c r="D137" s="723"/>
    </row>
    <row r="138" spans="1:4" s="709" customFormat="1" ht="18.75">
      <c r="A138" s="721"/>
      <c r="B138" s="722"/>
      <c r="C138" s="723"/>
      <c r="D138" s="723"/>
    </row>
    <row r="139" spans="1:4" s="709" customFormat="1" ht="18.75">
      <c r="A139" s="721"/>
      <c r="B139" s="722"/>
      <c r="C139" s="723"/>
      <c r="D139" s="723"/>
    </row>
    <row r="140" spans="1:4" s="709" customFormat="1" ht="18.75">
      <c r="A140" s="721"/>
      <c r="B140" s="722"/>
      <c r="C140" s="723"/>
      <c r="D140" s="723"/>
    </row>
    <row r="141" spans="1:4" s="709" customFormat="1" ht="18.75">
      <c r="A141" s="721"/>
      <c r="B141" s="722"/>
      <c r="C141" s="723"/>
      <c r="D141" s="723"/>
    </row>
    <row r="142" spans="1:4" s="709" customFormat="1" ht="18.75">
      <c r="A142" s="721"/>
      <c r="B142" s="722"/>
      <c r="C142" s="723"/>
      <c r="D142" s="723"/>
    </row>
    <row r="143" spans="1:4" s="709" customFormat="1" ht="18.75">
      <c r="A143" s="721"/>
      <c r="B143" s="722"/>
      <c r="C143" s="723"/>
      <c r="D143" s="723"/>
    </row>
    <row r="144" spans="1:4" s="709" customFormat="1" ht="18.75">
      <c r="A144" s="721"/>
      <c r="B144" s="722"/>
      <c r="C144" s="723"/>
      <c r="D144" s="723"/>
    </row>
    <row r="145" spans="1:4" s="709" customFormat="1" ht="18.75">
      <c r="A145" s="721"/>
      <c r="B145" s="722"/>
      <c r="C145" s="723"/>
      <c r="D145" s="723"/>
    </row>
    <row r="146" spans="1:4" s="709" customFormat="1" ht="18.75" hidden="1">
      <c r="A146" s="721"/>
      <c r="B146" s="722"/>
      <c r="C146" s="723"/>
      <c r="D146" s="723"/>
    </row>
    <row r="147" spans="1:4" s="709" customFormat="1" ht="18.75" hidden="1">
      <c r="A147" s="721"/>
      <c r="B147" s="722"/>
      <c r="C147" s="723"/>
      <c r="D147" s="723"/>
    </row>
    <row r="148" spans="1:4" s="709" customFormat="1" ht="18.75" hidden="1">
      <c r="A148" s="721"/>
      <c r="B148" s="722"/>
      <c r="C148" s="723"/>
      <c r="D148" s="723"/>
    </row>
    <row r="149" spans="1:4" s="709" customFormat="1" ht="18.75" hidden="1">
      <c r="A149" s="721"/>
      <c r="B149" s="722"/>
      <c r="C149" s="723"/>
      <c r="D149" s="723"/>
    </row>
    <row r="150" spans="1:4" s="709" customFormat="1" ht="18.75" hidden="1">
      <c r="A150" s="721"/>
      <c r="B150" s="722"/>
      <c r="C150" s="723"/>
      <c r="D150" s="723"/>
    </row>
    <row r="151" spans="1:4" s="709" customFormat="1" ht="18.75">
      <c r="A151" s="721"/>
      <c r="B151" s="722"/>
      <c r="C151" s="723"/>
      <c r="D151" s="723"/>
    </row>
    <row r="152" spans="1:4" s="709" customFormat="1" ht="18.75">
      <c r="A152" s="721"/>
      <c r="B152" s="722"/>
      <c r="C152" s="723"/>
      <c r="D152" s="723"/>
    </row>
    <row r="153" spans="1:4" s="709" customFormat="1" ht="18.75">
      <c r="A153" s="721"/>
      <c r="B153" s="722"/>
      <c r="C153" s="723"/>
      <c r="D153" s="723"/>
    </row>
    <row r="154" spans="1:4" s="709" customFormat="1" ht="18.75">
      <c r="B154" s="715"/>
      <c r="C154" s="708"/>
      <c r="D154" s="716"/>
    </row>
    <row r="155" spans="1:4" s="709" customFormat="1" ht="18.75">
      <c r="B155" s="715"/>
      <c r="C155" s="708"/>
      <c r="D155" s="716"/>
    </row>
    <row r="156" spans="1:4" s="709" customFormat="1" ht="18.75" hidden="1">
      <c r="B156" s="715"/>
      <c r="C156" s="708"/>
      <c r="D156" s="716"/>
    </row>
    <row r="157" spans="1:4" s="709" customFormat="1" ht="18.75" hidden="1">
      <c r="B157" s="715"/>
      <c r="C157" s="708"/>
      <c r="D157" s="716"/>
    </row>
    <row r="158" spans="1:4" s="709" customFormat="1" ht="18.75" hidden="1">
      <c r="B158" s="715"/>
      <c r="C158" s="708"/>
      <c r="D158" s="716"/>
    </row>
    <row r="159" spans="1:4" s="709" customFormat="1" ht="18.75" hidden="1">
      <c r="B159" s="715"/>
      <c r="C159" s="708"/>
      <c r="D159" s="716"/>
    </row>
    <row r="160" spans="1:4" s="709" customFormat="1" ht="18.75" hidden="1">
      <c r="B160" s="715"/>
      <c r="C160" s="708"/>
      <c r="D160" s="716"/>
    </row>
    <row r="161" spans="2:4" s="709" customFormat="1" ht="18.75" hidden="1">
      <c r="B161" s="715"/>
      <c r="C161" s="708"/>
      <c r="D161" s="716"/>
    </row>
    <row r="162" spans="2:4" s="709" customFormat="1" ht="18.75" hidden="1">
      <c r="B162" s="715"/>
      <c r="C162" s="708"/>
      <c r="D162" s="716"/>
    </row>
    <row r="163" spans="2:4" s="709" customFormat="1" ht="18.75" hidden="1">
      <c r="B163" s="715"/>
      <c r="C163" s="708"/>
      <c r="D163" s="716"/>
    </row>
    <row r="164" spans="2:4" s="709" customFormat="1" ht="18.75" hidden="1">
      <c r="B164" s="715"/>
      <c r="C164" s="708"/>
      <c r="D164" s="716"/>
    </row>
    <row r="165" spans="2:4" s="709" customFormat="1" ht="18.75" hidden="1">
      <c r="B165" s="715"/>
      <c r="C165" s="708"/>
      <c r="D165" s="716"/>
    </row>
    <row r="166" spans="2:4" s="709" customFormat="1" ht="18.75" hidden="1">
      <c r="B166" s="715"/>
      <c r="C166" s="708"/>
      <c r="D166" s="716"/>
    </row>
    <row r="167" spans="2:4" s="709" customFormat="1" ht="18.75" hidden="1">
      <c r="B167" s="715"/>
      <c r="C167" s="708"/>
      <c r="D167" s="716"/>
    </row>
    <row r="168" spans="2:4" s="709" customFormat="1" ht="18.75" hidden="1">
      <c r="B168" s="715"/>
      <c r="C168" s="708"/>
      <c r="D168" s="716"/>
    </row>
    <row r="169" spans="2:4" s="709" customFormat="1" ht="18.75" hidden="1">
      <c r="B169" s="715"/>
      <c r="C169" s="708"/>
      <c r="D169" s="716"/>
    </row>
    <row r="170" spans="2:4" s="709" customFormat="1" ht="18.75" hidden="1">
      <c r="B170" s="715"/>
      <c r="C170" s="708"/>
      <c r="D170" s="716"/>
    </row>
    <row r="171" spans="2:4" s="709" customFormat="1" ht="18.75" hidden="1">
      <c r="B171" s="715"/>
      <c r="C171" s="708"/>
      <c r="D171" s="716"/>
    </row>
    <row r="172" spans="2:4" s="709" customFormat="1" ht="18.75" hidden="1">
      <c r="B172" s="715"/>
      <c r="C172" s="708"/>
      <c r="D172" s="716"/>
    </row>
    <row r="173" spans="2:4" s="709" customFormat="1" ht="18.75" hidden="1">
      <c r="B173" s="715"/>
      <c r="C173" s="708"/>
      <c r="D173" s="716"/>
    </row>
    <row r="174" spans="2:4" s="709" customFormat="1" ht="18.75" hidden="1">
      <c r="B174" s="715"/>
      <c r="C174" s="708"/>
      <c r="D174" s="716"/>
    </row>
    <row r="175" spans="2:4" s="709" customFormat="1" ht="18.75" hidden="1">
      <c r="B175" s="715"/>
      <c r="C175" s="708"/>
      <c r="D175" s="716"/>
    </row>
    <row r="176" spans="2:4" s="709" customFormat="1" ht="18.75" hidden="1">
      <c r="B176" s="715"/>
      <c r="C176" s="708"/>
      <c r="D176" s="716"/>
    </row>
    <row r="177" spans="2:4" s="709" customFormat="1" ht="18.75" hidden="1">
      <c r="B177" s="715"/>
      <c r="C177" s="708"/>
      <c r="D177" s="716"/>
    </row>
    <row r="178" spans="2:4" s="709" customFormat="1" ht="18.75" hidden="1">
      <c r="B178" s="715"/>
      <c r="C178" s="708"/>
      <c r="D178" s="716"/>
    </row>
    <row r="179" spans="2:4" s="709" customFormat="1" ht="18.75" hidden="1">
      <c r="B179" s="715"/>
      <c r="C179" s="708"/>
      <c r="D179" s="716"/>
    </row>
    <row r="180" spans="2:4" s="709" customFormat="1" ht="18.75" hidden="1">
      <c r="B180" s="715"/>
      <c r="C180" s="708"/>
      <c r="D180" s="716"/>
    </row>
    <row r="181" spans="2:4" s="709" customFormat="1" ht="18.75" hidden="1">
      <c r="B181" s="715"/>
      <c r="C181" s="708"/>
      <c r="D181" s="716"/>
    </row>
    <row r="182" spans="2:4" s="709" customFormat="1" ht="18.75" hidden="1">
      <c r="B182" s="715"/>
      <c r="C182" s="708"/>
      <c r="D182" s="716"/>
    </row>
    <row r="183" spans="2:4" s="709" customFormat="1" ht="18.75" hidden="1"/>
    <row r="184" spans="2:4" s="709" customFormat="1" ht="18.75" hidden="1"/>
    <row r="185" spans="2:4"/>
    <row r="186" spans="2:4"/>
    <row r="187" spans="2:4"/>
    <row r="188" spans="2:4"/>
    <row r="189" spans="2:4"/>
    <row r="190" spans="2:4"/>
    <row r="191" spans="2:4"/>
    <row r="192" spans="2:4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</sheetData>
  <mergeCells count="2">
    <mergeCell ref="B5:C5"/>
    <mergeCell ref="B24:C24"/>
  </mergeCells>
  <pageMargins left="0.70866141732283472" right="0.70866141732283472" top="0.74803149606299213" bottom="0.74803149606299213" header="0.31496062992125984" footer="0.31496062992125984"/>
  <pageSetup paperSize="9" scale="55" fitToHeight="20" orientation="portrait" r:id="rId1"/>
  <headerFooter>
    <oddFooter>&amp;C&amp;10&amp;P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2</xdr:col>
                    <xdr:colOff>933450</xdr:colOff>
                    <xdr:row>6</xdr:row>
                    <xdr:rowOff>200025</xdr:rowOff>
                  </from>
                  <to>
                    <xdr:col>2</xdr:col>
                    <xdr:colOff>1162050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2">
              <controlPr defaultSize="0" autoFill="0" autoLine="0" autoPict="0">
                <anchor moveWithCells="1">
                  <from>
                    <xdr:col>2</xdr:col>
                    <xdr:colOff>933450</xdr:colOff>
                    <xdr:row>7</xdr:row>
                    <xdr:rowOff>57150</xdr:rowOff>
                  </from>
                  <to>
                    <xdr:col>2</xdr:col>
                    <xdr:colOff>1162050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3">
              <controlPr defaultSize="0" autoFill="0" autoLine="0" autoPict="0">
                <anchor moveWithCells="1">
                  <from>
                    <xdr:col>2</xdr:col>
                    <xdr:colOff>933450</xdr:colOff>
                    <xdr:row>8</xdr:row>
                    <xdr:rowOff>219075</xdr:rowOff>
                  </from>
                  <to>
                    <xdr:col>2</xdr:col>
                    <xdr:colOff>1162050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Check Box 4">
              <controlPr defaultSize="0" autoFill="0" autoLine="0" autoPict="0">
                <anchor moveWithCells="1">
                  <from>
                    <xdr:col>2</xdr:col>
                    <xdr:colOff>942975</xdr:colOff>
                    <xdr:row>9</xdr:row>
                    <xdr:rowOff>133350</xdr:rowOff>
                  </from>
                  <to>
                    <xdr:col>2</xdr:col>
                    <xdr:colOff>1152525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Check Box 5">
              <controlPr defaultSize="0" autoFill="0" autoLine="0" autoPict="0">
                <anchor moveWithCells="1">
                  <from>
                    <xdr:col>2</xdr:col>
                    <xdr:colOff>933450</xdr:colOff>
                    <xdr:row>10</xdr:row>
                    <xdr:rowOff>314325</xdr:rowOff>
                  </from>
                  <to>
                    <xdr:col>2</xdr:col>
                    <xdr:colOff>1162050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2" r:id="rId9" name="Check Box 6">
              <controlPr defaultSize="0" autoFill="0" autoLine="0" autoPict="0">
                <anchor moveWithCells="1">
                  <from>
                    <xdr:col>2</xdr:col>
                    <xdr:colOff>942975</xdr:colOff>
                    <xdr:row>11</xdr:row>
                    <xdr:rowOff>238125</xdr:rowOff>
                  </from>
                  <to>
                    <xdr:col>2</xdr:col>
                    <xdr:colOff>1162050</xdr:colOff>
                    <xdr:row>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3" r:id="rId10" name="Check Box 7">
              <controlPr defaultSize="0" autoFill="0" autoLine="0" autoPict="0">
                <anchor moveWithCells="1">
                  <from>
                    <xdr:col>2</xdr:col>
                    <xdr:colOff>962025</xdr:colOff>
                    <xdr:row>12</xdr:row>
                    <xdr:rowOff>228600</xdr:rowOff>
                  </from>
                  <to>
                    <xdr:col>2</xdr:col>
                    <xdr:colOff>1143000</xdr:colOff>
                    <xdr:row>12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4" r:id="rId11" name="Check Box 8">
              <controlPr defaultSize="0" autoFill="0" autoLine="0" autoPict="0">
                <anchor moveWithCells="1">
                  <from>
                    <xdr:col>2</xdr:col>
                    <xdr:colOff>923925</xdr:colOff>
                    <xdr:row>13</xdr:row>
                    <xdr:rowOff>400050</xdr:rowOff>
                  </from>
                  <to>
                    <xdr:col>2</xdr:col>
                    <xdr:colOff>1181100</xdr:colOff>
                    <xdr:row>13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5" r:id="rId12" name="Check Box 9">
              <controlPr defaultSize="0" autoFill="0" autoLine="0" autoPict="0">
                <anchor moveWithCells="1">
                  <from>
                    <xdr:col>2</xdr:col>
                    <xdr:colOff>933450</xdr:colOff>
                    <xdr:row>16</xdr:row>
                    <xdr:rowOff>57150</xdr:rowOff>
                  </from>
                  <to>
                    <xdr:col>2</xdr:col>
                    <xdr:colOff>1162050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6" r:id="rId13" name="Check Box 10">
              <controlPr defaultSize="0" autoFill="0" autoLine="0" autoPict="0">
                <anchor moveWithCells="1">
                  <from>
                    <xdr:col>2</xdr:col>
                    <xdr:colOff>933450</xdr:colOff>
                    <xdr:row>17</xdr:row>
                    <xdr:rowOff>57150</xdr:rowOff>
                  </from>
                  <to>
                    <xdr:col>2</xdr:col>
                    <xdr:colOff>1162050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7" r:id="rId14" name="Check Box 11">
              <controlPr defaultSize="0" autoFill="0" autoLine="0" autoPict="0">
                <anchor moveWithCells="1">
                  <from>
                    <xdr:col>2</xdr:col>
                    <xdr:colOff>933450</xdr:colOff>
                    <xdr:row>18</xdr:row>
                    <xdr:rowOff>57150</xdr:rowOff>
                  </from>
                  <to>
                    <xdr:col>2</xdr:col>
                    <xdr:colOff>1162050</xdr:colOff>
                    <xdr:row>18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8" tint="0.79998168889431442"/>
    <outlinePr summaryRight="0"/>
    <pageSetUpPr fitToPage="1"/>
  </sheetPr>
  <dimension ref="A1:AJ120"/>
  <sheetViews>
    <sheetView zoomScale="85" zoomScaleNormal="85" workbookViewId="0">
      <pane xSplit="4" ySplit="4" topLeftCell="E20" activePane="bottomRight" state="frozen"/>
      <selection activeCell="D130" sqref="D130"/>
      <selection pane="topRight" activeCell="D130" sqref="D130"/>
      <selection pane="bottomLeft" activeCell="D130" sqref="D130"/>
      <selection pane="bottomRight" activeCell="G46" sqref="G46"/>
    </sheetView>
  </sheetViews>
  <sheetFormatPr defaultRowHeight="15" outlineLevelCol="1"/>
  <cols>
    <col min="1" max="1" width="13.140625" customWidth="1"/>
    <col min="2" max="2" width="27.7109375" customWidth="1"/>
    <col min="3" max="3" width="13" style="5" customWidth="1"/>
    <col min="4" max="4" width="11" customWidth="1"/>
    <col min="5" max="5" width="2.28515625" customWidth="1"/>
    <col min="17" max="17" width="1.140625" customWidth="1"/>
    <col min="18" max="18" width="13.42578125" customWidth="1"/>
    <col min="19" max="19" width="1.140625" customWidth="1"/>
    <col min="20" max="20" width="2.85546875" customWidth="1" collapsed="1"/>
    <col min="21" max="29" width="8.85546875" hidden="1" customWidth="1" outlineLevel="1"/>
    <col min="30" max="30" width="1.5703125" customWidth="1"/>
    <col min="31" max="31" width="94.7109375" customWidth="1"/>
  </cols>
  <sheetData>
    <row r="1" spans="1:36" ht="25.5">
      <c r="A1" s="651" t="s">
        <v>668</v>
      </c>
      <c r="B1" s="71"/>
      <c r="C1" s="184"/>
      <c r="D1" s="71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71"/>
      <c r="R1" s="71"/>
      <c r="S1" s="71"/>
      <c r="T1" s="155" t="s">
        <v>181</v>
      </c>
      <c r="U1" s="71"/>
      <c r="V1" s="71"/>
      <c r="W1" s="71"/>
      <c r="X1" s="71"/>
      <c r="Y1" s="71"/>
      <c r="Z1" s="71"/>
      <c r="AA1" s="71"/>
      <c r="AB1" s="71"/>
      <c r="AC1" s="71"/>
      <c r="AD1" s="71"/>
      <c r="AE1" s="164"/>
      <c r="AF1" s="71"/>
      <c r="AG1" s="71"/>
      <c r="AH1" s="71"/>
      <c r="AI1" s="71"/>
      <c r="AJ1" s="71"/>
    </row>
    <row r="2" spans="1:36" ht="15.4" customHeight="1">
      <c r="A2" s="71" t="str">
        <f>Паспорт_ФМ_резидент!B7</f>
        <v>Разработка, производство, модернизация и реализация …</v>
      </c>
      <c r="B2" s="71"/>
      <c r="C2" s="184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26">
        <v>11</v>
      </c>
      <c r="Q2" s="71"/>
      <c r="R2" s="71"/>
      <c r="S2" s="71"/>
      <c r="T2" s="156"/>
      <c r="U2" s="159">
        <f>P2+1</f>
        <v>12</v>
      </c>
      <c r="V2" s="126">
        <f>U2+1</f>
        <v>13</v>
      </c>
      <c r="W2" s="126">
        <f t="shared" ref="W2:AC3" si="0">V2+1</f>
        <v>14</v>
      </c>
      <c r="X2" s="126">
        <f t="shared" si="0"/>
        <v>15</v>
      </c>
      <c r="Y2" s="126">
        <f t="shared" si="0"/>
        <v>16</v>
      </c>
      <c r="Z2" s="126">
        <f t="shared" si="0"/>
        <v>17</v>
      </c>
      <c r="AA2" s="126">
        <f t="shared" si="0"/>
        <v>18</v>
      </c>
      <c r="AB2" s="126">
        <f t="shared" si="0"/>
        <v>19</v>
      </c>
      <c r="AC2" s="126">
        <f t="shared" si="0"/>
        <v>20</v>
      </c>
      <c r="AD2" s="71"/>
      <c r="AE2" s="71"/>
      <c r="AF2" s="71"/>
      <c r="AG2" s="71"/>
      <c r="AH2" s="71"/>
      <c r="AI2" s="71"/>
      <c r="AJ2" s="71"/>
    </row>
    <row r="3" spans="1:36" s="18" customFormat="1" ht="28.5">
      <c r="A3" s="78" t="s">
        <v>2</v>
      </c>
      <c r="B3" s="78" t="s">
        <v>3</v>
      </c>
      <c r="C3" s="185" t="s">
        <v>12</v>
      </c>
      <c r="D3" s="194" t="str">
        <f>CONCATENATE("Итого ",F3,"-",P3)</f>
        <v>Итого 2025-2035</v>
      </c>
      <c r="E3" s="152"/>
      <c r="F3" s="766">
        <v>2025</v>
      </c>
      <c r="G3" s="127">
        <f>F3+1</f>
        <v>2026</v>
      </c>
      <c r="H3" s="127">
        <f t="shared" ref="H3:P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127">
        <f t="shared" si="1"/>
        <v>2035</v>
      </c>
      <c r="Q3" s="152"/>
      <c r="R3" s="127" t="s">
        <v>106</v>
      </c>
      <c r="S3" s="152"/>
      <c r="T3" s="157"/>
      <c r="U3" s="160">
        <f>P3+1</f>
        <v>2036</v>
      </c>
      <c r="V3" s="160">
        <f>U3+1</f>
        <v>2037</v>
      </c>
      <c r="W3" s="160">
        <f t="shared" si="0"/>
        <v>2038</v>
      </c>
      <c r="X3" s="160">
        <f t="shared" si="0"/>
        <v>2039</v>
      </c>
      <c r="Y3" s="160">
        <f t="shared" si="0"/>
        <v>2040</v>
      </c>
      <c r="Z3" s="160">
        <f t="shared" si="0"/>
        <v>2041</v>
      </c>
      <c r="AA3" s="160">
        <f t="shared" si="0"/>
        <v>2042</v>
      </c>
      <c r="AB3" s="160">
        <f t="shared" si="0"/>
        <v>2043</v>
      </c>
      <c r="AC3" s="160">
        <f t="shared" si="0"/>
        <v>2044</v>
      </c>
      <c r="AD3" s="152"/>
      <c r="AE3" s="127" t="s">
        <v>28</v>
      </c>
      <c r="AF3" s="152"/>
      <c r="AG3" s="152"/>
      <c r="AH3" s="152"/>
      <c r="AI3" s="152"/>
      <c r="AJ3" s="152"/>
    </row>
    <row r="4" spans="1:36" ht="8.1" customHeight="1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71"/>
      <c r="R4" s="128"/>
      <c r="S4" s="71"/>
      <c r="T4" s="156"/>
      <c r="U4" s="108"/>
      <c r="V4" s="108"/>
      <c r="W4" s="108"/>
      <c r="X4" s="108"/>
      <c r="Y4" s="108"/>
      <c r="Z4" s="108"/>
      <c r="AA4" s="108"/>
      <c r="AB4" s="108"/>
      <c r="AC4" s="108"/>
      <c r="AD4" s="71"/>
      <c r="AE4" s="128"/>
      <c r="AF4" s="71"/>
      <c r="AG4" s="71"/>
      <c r="AH4" s="71"/>
      <c r="AI4" s="71"/>
      <c r="AJ4" s="71"/>
    </row>
    <row r="5" spans="1:36" s="13" customFormat="1" ht="15.75">
      <c r="A5" s="950" t="s">
        <v>711</v>
      </c>
      <c r="B5" s="951"/>
      <c r="C5" s="952"/>
      <c r="D5" s="129"/>
      <c r="E5" s="123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71"/>
      <c r="R5" s="129"/>
      <c r="S5" s="71"/>
      <c r="T5" s="157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</row>
    <row r="6" spans="1:36" ht="34.15" customHeight="1">
      <c r="A6" s="146"/>
      <c r="B6" s="173" t="s">
        <v>143</v>
      </c>
      <c r="C6" s="186" t="s">
        <v>120</v>
      </c>
      <c r="D6" s="131"/>
      <c r="E6" s="71"/>
      <c r="F6" s="756">
        <v>1.0580000000000001</v>
      </c>
      <c r="G6" s="756">
        <v>1.04</v>
      </c>
      <c r="H6" s="756">
        <v>1.04</v>
      </c>
      <c r="I6" s="756">
        <v>1.04</v>
      </c>
      <c r="J6" s="756">
        <v>1.04</v>
      </c>
      <c r="K6" s="756">
        <v>1.04</v>
      </c>
      <c r="L6" s="756">
        <v>1.04</v>
      </c>
      <c r="M6" s="756">
        <v>1.04</v>
      </c>
      <c r="N6" s="756">
        <v>1.04</v>
      </c>
      <c r="O6" s="756">
        <v>1.04</v>
      </c>
      <c r="P6" s="756">
        <v>1.04</v>
      </c>
      <c r="Q6" s="756">
        <v>1.04</v>
      </c>
      <c r="R6" s="71"/>
      <c r="S6" s="71"/>
      <c r="T6" s="157"/>
      <c r="U6" s="71"/>
      <c r="V6" s="71"/>
      <c r="W6" s="71"/>
      <c r="X6" s="71"/>
      <c r="Y6" s="71"/>
      <c r="Z6" s="71"/>
      <c r="AA6" s="71"/>
      <c r="AB6" s="71"/>
      <c r="AC6" s="71"/>
      <c r="AD6" s="71"/>
      <c r="AE6" s="757" t="s">
        <v>1049</v>
      </c>
      <c r="AF6" s="71"/>
      <c r="AG6" s="71"/>
      <c r="AH6" s="71"/>
      <c r="AI6" s="71"/>
      <c r="AJ6" s="71"/>
    </row>
    <row r="7" spans="1:36" ht="34.15" customHeight="1">
      <c r="A7" s="146"/>
      <c r="B7" s="173" t="s">
        <v>105</v>
      </c>
      <c r="C7" s="186" t="s">
        <v>27</v>
      </c>
      <c r="D7" s="131"/>
      <c r="E7" s="71"/>
      <c r="F7" s="131">
        <v>0.02</v>
      </c>
      <c r="G7" s="131">
        <v>0.02</v>
      </c>
      <c r="H7" s="131">
        <v>0.02</v>
      </c>
      <c r="I7" s="131">
        <v>0.02</v>
      </c>
      <c r="J7" s="131">
        <v>0.02</v>
      </c>
      <c r="K7" s="131">
        <v>0.02</v>
      </c>
      <c r="L7" s="131">
        <v>0.02</v>
      </c>
      <c r="M7" s="131">
        <v>0.02</v>
      </c>
      <c r="N7" s="131">
        <v>0.02</v>
      </c>
      <c r="O7" s="131">
        <v>0.02</v>
      </c>
      <c r="P7" s="131">
        <v>0.02</v>
      </c>
      <c r="Q7" s="71"/>
      <c r="R7" s="71"/>
      <c r="S7" s="71"/>
      <c r="T7" s="157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</row>
    <row r="8" spans="1:36" ht="34.15" customHeight="1">
      <c r="A8" s="146"/>
      <c r="B8" s="173" t="s">
        <v>697</v>
      </c>
      <c r="C8" s="186" t="s">
        <v>120</v>
      </c>
      <c r="D8" s="131"/>
      <c r="E8" s="71"/>
      <c r="F8" s="130">
        <v>1.0469999999999999</v>
      </c>
      <c r="G8" s="130">
        <v>1.056</v>
      </c>
      <c r="H8" s="130">
        <v>1.056</v>
      </c>
      <c r="I8" s="130">
        <v>1.056</v>
      </c>
      <c r="J8" s="130">
        <v>1.056</v>
      </c>
      <c r="K8" s="130">
        <v>1.056</v>
      </c>
      <c r="L8" s="130">
        <v>1.056</v>
      </c>
      <c r="M8" s="130">
        <v>1.056</v>
      </c>
      <c r="N8" s="130">
        <v>1.056</v>
      </c>
      <c r="O8" s="130">
        <v>1.056</v>
      </c>
      <c r="P8" s="130">
        <v>1.056</v>
      </c>
      <c r="Q8" s="71"/>
      <c r="R8" s="71"/>
      <c r="S8" s="71"/>
      <c r="T8" s="157"/>
      <c r="U8" s="71"/>
      <c r="V8" s="71"/>
      <c r="W8" s="71"/>
      <c r="X8" s="71"/>
      <c r="Y8" s="71"/>
      <c r="Z8" s="71"/>
      <c r="AA8" s="71"/>
      <c r="AB8" s="71"/>
      <c r="AC8" s="71"/>
      <c r="AD8" s="71"/>
      <c r="AE8" s="760" t="s">
        <v>1050</v>
      </c>
      <c r="AF8" s="71"/>
      <c r="AG8" s="71"/>
      <c r="AH8" s="71"/>
      <c r="AI8" s="71"/>
      <c r="AJ8" s="71"/>
    </row>
    <row r="9" spans="1:36" ht="34.15" customHeight="1">
      <c r="A9" s="146"/>
      <c r="B9" s="173" t="s">
        <v>698</v>
      </c>
      <c r="C9" s="186" t="s">
        <v>120</v>
      </c>
      <c r="D9" s="131"/>
      <c r="E9" s="71"/>
      <c r="F9" s="130">
        <v>1.03</v>
      </c>
      <c r="G9" s="130">
        <v>1.0249999999999999</v>
      </c>
      <c r="H9" s="130">
        <v>1.0249999999999999</v>
      </c>
      <c r="I9" s="130">
        <v>1.0249999999999999</v>
      </c>
      <c r="J9" s="130">
        <v>1.0249999999999999</v>
      </c>
      <c r="K9" s="130">
        <v>1.0149999999999999</v>
      </c>
      <c r="L9" s="130">
        <v>1.0149999999999999</v>
      </c>
      <c r="M9" s="130">
        <v>1.0149999999999999</v>
      </c>
      <c r="N9" s="130">
        <v>1.0149999999999999</v>
      </c>
      <c r="O9" s="130">
        <v>1.0149999999999999</v>
      </c>
      <c r="P9" s="130">
        <v>1.0149999999999999</v>
      </c>
      <c r="Q9" s="71"/>
      <c r="R9" s="71"/>
      <c r="S9" s="71"/>
      <c r="T9" s="157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</row>
    <row r="10" spans="1:36" ht="34.15" customHeight="1">
      <c r="A10" s="146"/>
      <c r="B10" s="173" t="s">
        <v>699</v>
      </c>
      <c r="C10" s="186" t="s">
        <v>120</v>
      </c>
      <c r="D10" s="131"/>
      <c r="E10" s="71"/>
      <c r="F10" s="130">
        <v>1.03</v>
      </c>
      <c r="G10" s="130">
        <v>1.0249999999999999</v>
      </c>
      <c r="H10" s="130">
        <v>1.0249999999999999</v>
      </c>
      <c r="I10" s="130">
        <v>1.0249999999999999</v>
      </c>
      <c r="J10" s="130">
        <v>1.0249999999999999</v>
      </c>
      <c r="K10" s="130">
        <v>1.0149999999999999</v>
      </c>
      <c r="L10" s="130">
        <v>1.0149999999999999</v>
      </c>
      <c r="M10" s="130">
        <v>1.0149999999999999</v>
      </c>
      <c r="N10" s="130">
        <v>1.0149999999999999</v>
      </c>
      <c r="O10" s="130">
        <v>1.0149999999999999</v>
      </c>
      <c r="P10" s="130">
        <v>1.0149999999999999</v>
      </c>
      <c r="Q10" s="71"/>
      <c r="R10" s="71"/>
      <c r="S10" s="71"/>
      <c r="T10" s="157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</row>
    <row r="11" spans="1:36" ht="34.15" customHeight="1">
      <c r="A11" s="146"/>
      <c r="B11" s="173" t="s">
        <v>700</v>
      </c>
      <c r="C11" s="186" t="s">
        <v>120</v>
      </c>
      <c r="D11" s="131"/>
      <c r="E11" s="71"/>
      <c r="F11" s="130">
        <v>1.0449999999999999</v>
      </c>
      <c r="G11" s="130">
        <v>1.04</v>
      </c>
      <c r="H11" s="130">
        <v>1.04</v>
      </c>
      <c r="I11" s="130">
        <v>1.04</v>
      </c>
      <c r="J11" s="765">
        <v>1.04</v>
      </c>
      <c r="K11" s="130">
        <v>1.04</v>
      </c>
      <c r="L11" s="130">
        <v>1.04</v>
      </c>
      <c r="M11" s="130">
        <v>1.04</v>
      </c>
      <c r="N11" s="130">
        <v>1.04</v>
      </c>
      <c r="O11" s="130">
        <v>1.04</v>
      </c>
      <c r="P11" s="130">
        <v>1.04</v>
      </c>
      <c r="Q11" s="71"/>
      <c r="R11" s="71"/>
      <c r="S11" s="71"/>
      <c r="T11" s="157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</row>
    <row r="12" spans="1:36" ht="34.15" customHeight="1">
      <c r="A12" s="146"/>
      <c r="B12" s="173" t="s">
        <v>701</v>
      </c>
      <c r="C12" s="186" t="s">
        <v>120</v>
      </c>
      <c r="D12" s="131"/>
      <c r="E12" s="71"/>
      <c r="F12" s="130">
        <v>1.03</v>
      </c>
      <c r="G12" s="130">
        <v>1.0249999999999999</v>
      </c>
      <c r="H12" s="130">
        <v>1.0249999999999999</v>
      </c>
      <c r="I12" s="130">
        <v>1.0249999999999999</v>
      </c>
      <c r="J12" s="130">
        <v>1.0249999999999999</v>
      </c>
      <c r="K12" s="130">
        <v>1.0149999999999999</v>
      </c>
      <c r="L12" s="130">
        <v>1.0149999999999999</v>
      </c>
      <c r="M12" s="130">
        <v>1.0149999999999999</v>
      </c>
      <c r="N12" s="130">
        <v>1.0149999999999999</v>
      </c>
      <c r="O12" s="130">
        <v>1.0149999999999999</v>
      </c>
      <c r="P12" s="130">
        <v>1.0149999999999999</v>
      </c>
      <c r="Q12" s="71"/>
      <c r="R12" s="71"/>
      <c r="S12" s="71"/>
      <c r="T12" s="157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</row>
    <row r="13" spans="1:36" ht="15.75" thickBot="1">
      <c r="A13" s="132"/>
      <c r="B13" s="174"/>
      <c r="C13" s="187"/>
      <c r="D13" s="132"/>
      <c r="E13" s="71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71"/>
      <c r="R13" s="71"/>
      <c r="S13" s="71"/>
      <c r="T13" s="157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</row>
    <row r="14" spans="1:36" ht="7.15" customHeight="1">
      <c r="A14" s="89"/>
      <c r="B14" s="175"/>
      <c r="C14" s="89"/>
      <c r="D14" s="89"/>
      <c r="E14" s="71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71"/>
      <c r="R14" s="71"/>
      <c r="S14" s="71"/>
      <c r="T14" s="157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</row>
    <row r="15" spans="1:36" s="13" customFormat="1" ht="15.75">
      <c r="A15" s="950" t="s">
        <v>712</v>
      </c>
      <c r="B15" s="951"/>
      <c r="C15" s="952"/>
      <c r="D15" s="129"/>
      <c r="E15" s="123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71"/>
      <c r="R15" s="129"/>
      <c r="S15" s="71"/>
      <c r="T15" s="157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</row>
    <row r="16" spans="1:36" ht="24.95" customHeight="1">
      <c r="A16" s="146"/>
      <c r="B16" s="173" t="s">
        <v>144</v>
      </c>
      <c r="C16" s="186" t="s">
        <v>27</v>
      </c>
      <c r="D16" s="131"/>
      <c r="E16" s="71"/>
      <c r="F16" s="131">
        <v>0.2</v>
      </c>
      <c r="G16" s="752">
        <v>0.16</v>
      </c>
      <c r="H16" s="752">
        <v>0.11</v>
      </c>
      <c r="I16" s="752">
        <v>8.5000000000000006E-2</v>
      </c>
      <c r="J16" s="752">
        <v>8.5000000000000006E-2</v>
      </c>
      <c r="K16" s="752">
        <v>8.5000000000000006E-2</v>
      </c>
      <c r="L16" s="752">
        <v>8.5000000000000006E-2</v>
      </c>
      <c r="M16" s="752">
        <v>8.5000000000000006E-2</v>
      </c>
      <c r="N16" s="752">
        <v>8.5000000000000006E-2</v>
      </c>
      <c r="O16" s="752">
        <v>8.5000000000000006E-2</v>
      </c>
      <c r="P16" s="752">
        <v>8.5000000000000006E-2</v>
      </c>
      <c r="Q16" s="71"/>
      <c r="R16" s="71"/>
      <c r="S16" s="71"/>
      <c r="T16" s="157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58" t="s">
        <v>1051</v>
      </c>
      <c r="AF16" s="71"/>
      <c r="AG16" s="71"/>
      <c r="AH16" s="71"/>
      <c r="AI16" s="71"/>
      <c r="AJ16" s="71"/>
    </row>
    <row r="17" spans="1:36" ht="24.95" customHeight="1">
      <c r="A17" s="167" t="str">
        <f t="array" aca="1" ref="A17" ca="1">HYPERLINK(CELL("адрес",WACC!C19),"источник")</f>
        <v>источник</v>
      </c>
      <c r="B17" s="176" t="s">
        <v>780</v>
      </c>
      <c r="C17" s="186" t="s">
        <v>27</v>
      </c>
      <c r="D17" s="131"/>
      <c r="E17" s="71"/>
      <c r="F17" s="131" t="e">
        <f ca="1">WACC!C19</f>
        <v>#DIV/0!</v>
      </c>
      <c r="G17" s="131" t="e">
        <f ca="1">F17</f>
        <v>#DIV/0!</v>
      </c>
      <c r="H17" s="131" t="e">
        <f t="shared" ref="H17:P17" ca="1" si="2">G17</f>
        <v>#DIV/0!</v>
      </c>
      <c r="I17" s="131" t="e">
        <f t="shared" ca="1" si="2"/>
        <v>#DIV/0!</v>
      </c>
      <c r="J17" s="131" t="e">
        <f t="shared" ca="1" si="2"/>
        <v>#DIV/0!</v>
      </c>
      <c r="K17" s="131" t="e">
        <f t="shared" ca="1" si="2"/>
        <v>#DIV/0!</v>
      </c>
      <c r="L17" s="131" t="e">
        <f t="shared" ca="1" si="2"/>
        <v>#DIV/0!</v>
      </c>
      <c r="M17" s="131" t="e">
        <f t="shared" ca="1" si="2"/>
        <v>#DIV/0!</v>
      </c>
      <c r="N17" s="131" t="e">
        <f t="shared" ca="1" si="2"/>
        <v>#DIV/0!</v>
      </c>
      <c r="O17" s="131" t="e">
        <f t="shared" ca="1" si="2"/>
        <v>#DIV/0!</v>
      </c>
      <c r="P17" s="131" t="e">
        <f t="shared" ca="1" si="2"/>
        <v>#DIV/0!</v>
      </c>
      <c r="Q17" s="71"/>
      <c r="R17" s="71"/>
      <c r="S17" s="71"/>
      <c r="T17" s="157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165"/>
      <c r="AF17" s="71"/>
      <c r="AG17" s="71"/>
      <c r="AH17" s="71"/>
      <c r="AI17" s="71"/>
      <c r="AJ17" s="71"/>
    </row>
    <row r="18" spans="1:36">
      <c r="A18" s="133"/>
      <c r="B18" s="177"/>
      <c r="C18" s="188"/>
      <c r="D18" s="133"/>
      <c r="E18" s="71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71"/>
      <c r="R18" s="71"/>
      <c r="S18" s="71"/>
      <c r="T18" s="157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</row>
    <row r="19" spans="1:36">
      <c r="A19" s="133"/>
      <c r="B19" s="177" t="s">
        <v>663</v>
      </c>
      <c r="C19" s="186" t="s">
        <v>27</v>
      </c>
      <c r="D19" s="133"/>
      <c r="E19" s="71"/>
      <c r="F19" s="890">
        <v>0.245</v>
      </c>
      <c r="G19" s="890">
        <v>0.245</v>
      </c>
      <c r="H19" s="890">
        <v>0.245</v>
      </c>
      <c r="I19" s="890">
        <v>0.245</v>
      </c>
      <c r="J19" s="890">
        <v>0.245</v>
      </c>
      <c r="K19" s="890">
        <v>0.245</v>
      </c>
      <c r="L19" s="890">
        <v>0.245</v>
      </c>
      <c r="M19" s="890">
        <v>0.245</v>
      </c>
      <c r="N19" s="890">
        <v>0.245</v>
      </c>
      <c r="O19" s="890">
        <v>0.245</v>
      </c>
      <c r="P19" s="890">
        <v>0.245</v>
      </c>
      <c r="Q19" s="71"/>
      <c r="R19" s="71"/>
      <c r="S19" s="71"/>
      <c r="T19" s="157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</row>
    <row r="20" spans="1:36">
      <c r="A20" s="133"/>
      <c r="B20" s="177" t="s">
        <v>664</v>
      </c>
      <c r="C20" s="186" t="s">
        <v>27</v>
      </c>
      <c r="D20" s="133"/>
      <c r="E20" s="71"/>
      <c r="F20" s="814">
        <v>0.15</v>
      </c>
      <c r="G20" s="814">
        <v>0.15</v>
      </c>
      <c r="H20" s="814">
        <v>0.15</v>
      </c>
      <c r="I20" s="814">
        <v>0.15</v>
      </c>
      <c r="J20" s="814">
        <v>0.15</v>
      </c>
      <c r="K20" s="814">
        <v>0.15</v>
      </c>
      <c r="L20" s="814">
        <v>0.15</v>
      </c>
      <c r="M20" s="814">
        <v>0.15</v>
      </c>
      <c r="N20" s="814">
        <v>0.15</v>
      </c>
      <c r="O20" s="814">
        <v>0.15</v>
      </c>
      <c r="P20" s="814">
        <v>0.15</v>
      </c>
      <c r="Q20" s="71"/>
      <c r="R20" s="71"/>
      <c r="S20" s="71"/>
      <c r="T20" s="157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 t="s">
        <v>1052</v>
      </c>
      <c r="AF20" s="71"/>
      <c r="AG20" s="71"/>
      <c r="AH20" s="71"/>
      <c r="AI20" s="71"/>
      <c r="AJ20" s="71"/>
    </row>
    <row r="21" spans="1:36">
      <c r="A21" s="133"/>
      <c r="B21" s="177"/>
      <c r="C21" s="188"/>
      <c r="D21" s="133"/>
      <c r="E21" s="71"/>
      <c r="F21" s="134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71"/>
      <c r="R21" s="71"/>
      <c r="S21" s="71"/>
      <c r="T21" s="157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</row>
    <row r="22" spans="1:36" ht="15.75" thickBot="1">
      <c r="A22" s="132"/>
      <c r="B22" s="174"/>
      <c r="C22" s="187"/>
      <c r="D22" s="132"/>
      <c r="E22" s="71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71"/>
      <c r="R22" s="132"/>
      <c r="S22" s="71"/>
      <c r="T22" s="157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</row>
    <row r="23" spans="1:36" ht="7.15" customHeight="1">
      <c r="A23" s="89"/>
      <c r="B23" s="175"/>
      <c r="C23" s="89"/>
      <c r="D23" s="89"/>
      <c r="E23" s="71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71"/>
      <c r="R23" s="71"/>
      <c r="S23" s="71"/>
      <c r="T23" s="157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</row>
    <row r="24" spans="1:36" s="13" customFormat="1" ht="15.75">
      <c r="A24" s="950" t="s">
        <v>713</v>
      </c>
      <c r="B24" s="951"/>
      <c r="C24" s="952"/>
      <c r="D24" s="129"/>
      <c r="E24" s="123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71"/>
      <c r="R24" s="129"/>
      <c r="S24" s="71"/>
      <c r="T24" s="157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</row>
    <row r="25" spans="1:36" ht="24.95" customHeight="1">
      <c r="A25" s="146"/>
      <c r="B25" s="173" t="s">
        <v>184</v>
      </c>
      <c r="C25" s="186" t="s">
        <v>183</v>
      </c>
      <c r="D25" s="131"/>
      <c r="E25" s="71"/>
      <c r="F25" s="135">
        <v>100</v>
      </c>
      <c r="G25" s="135">
        <v>100</v>
      </c>
      <c r="H25" s="135">
        <v>100</v>
      </c>
      <c r="I25" s="135">
        <v>100</v>
      </c>
      <c r="J25" s="135">
        <v>100</v>
      </c>
      <c r="K25" s="135">
        <v>100</v>
      </c>
      <c r="L25" s="135">
        <v>100</v>
      </c>
      <c r="M25" s="135">
        <v>100</v>
      </c>
      <c r="N25" s="135">
        <v>100</v>
      </c>
      <c r="O25" s="135">
        <v>100</v>
      </c>
      <c r="P25" s="135">
        <v>100</v>
      </c>
      <c r="Q25" s="71"/>
      <c r="R25" s="71"/>
      <c r="S25" s="71"/>
      <c r="T25" s="157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</row>
    <row r="26" spans="1:36" ht="24.95" customHeight="1">
      <c r="A26" s="146"/>
      <c r="B26" s="173" t="s">
        <v>185</v>
      </c>
      <c r="C26" s="186" t="s">
        <v>182</v>
      </c>
      <c r="D26" s="131"/>
      <c r="E26" s="71"/>
      <c r="F26" s="135">
        <v>105</v>
      </c>
      <c r="G26" s="135">
        <v>105</v>
      </c>
      <c r="H26" s="135">
        <v>105</v>
      </c>
      <c r="I26" s="135">
        <v>105</v>
      </c>
      <c r="J26" s="135">
        <v>105</v>
      </c>
      <c r="K26" s="135">
        <v>105</v>
      </c>
      <c r="L26" s="135">
        <v>105</v>
      </c>
      <c r="M26" s="135">
        <v>105</v>
      </c>
      <c r="N26" s="135">
        <v>105</v>
      </c>
      <c r="O26" s="135">
        <v>105</v>
      </c>
      <c r="P26" s="135">
        <v>105</v>
      </c>
      <c r="Q26" s="71"/>
      <c r="R26" s="71"/>
      <c r="S26" s="71"/>
      <c r="T26" s="157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</row>
    <row r="27" spans="1:36" ht="24.95" customHeight="1">
      <c r="A27" s="133"/>
      <c r="B27" s="173" t="s">
        <v>776</v>
      </c>
      <c r="C27" s="186" t="s">
        <v>777</v>
      </c>
      <c r="D27" s="133"/>
      <c r="E27" s="71"/>
      <c r="F27" s="136">
        <v>13.6</v>
      </c>
      <c r="G27" s="136">
        <v>13.6</v>
      </c>
      <c r="H27" s="136">
        <v>13.6</v>
      </c>
      <c r="I27" s="136">
        <v>13.6</v>
      </c>
      <c r="J27" s="136">
        <v>13.6</v>
      </c>
      <c r="K27" s="136">
        <v>13.6</v>
      </c>
      <c r="L27" s="136">
        <v>13.6</v>
      </c>
      <c r="M27" s="136">
        <v>13.6</v>
      </c>
      <c r="N27" s="136">
        <v>13.6</v>
      </c>
      <c r="O27" s="136">
        <v>13.6</v>
      </c>
      <c r="P27" s="136">
        <v>13.6</v>
      </c>
      <c r="Q27" s="136">
        <v>13.6</v>
      </c>
      <c r="R27" s="71"/>
      <c r="S27" s="71"/>
      <c r="T27" s="157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</row>
    <row r="28" spans="1:36" ht="15.75" thickBot="1">
      <c r="A28" s="132"/>
      <c r="B28" s="174"/>
      <c r="C28" s="187"/>
      <c r="D28" s="132"/>
      <c r="E28" s="71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71"/>
      <c r="R28" s="132"/>
      <c r="S28" s="71"/>
      <c r="T28" s="157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</row>
    <row r="29" spans="1:36" ht="7.15" customHeight="1">
      <c r="A29" s="89"/>
      <c r="B29" s="175"/>
      <c r="C29" s="89"/>
      <c r="D29" s="89"/>
      <c r="E29" s="71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71"/>
      <c r="R29" s="71"/>
      <c r="S29" s="71"/>
      <c r="T29" s="157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</row>
    <row r="30" spans="1:36" s="13" customFormat="1" ht="15.75">
      <c r="A30" s="956" t="s">
        <v>714</v>
      </c>
      <c r="B30" s="957"/>
      <c r="C30" s="958"/>
      <c r="D30" s="129"/>
      <c r="E30" s="123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71"/>
      <c r="R30" s="129"/>
      <c r="S30" s="71"/>
      <c r="T30" s="157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166" t="s">
        <v>286</v>
      </c>
      <c r="AF30" s="71"/>
      <c r="AG30" s="71"/>
      <c r="AH30" s="71"/>
      <c r="AI30" s="71"/>
      <c r="AJ30" s="71"/>
    </row>
    <row r="31" spans="1:36">
      <c r="A31" s="146"/>
      <c r="B31" s="178" t="s">
        <v>778</v>
      </c>
      <c r="C31" s="186" t="s">
        <v>27</v>
      </c>
      <c r="D31" s="195" t="s">
        <v>134</v>
      </c>
      <c r="E31" s="71"/>
      <c r="F31" s="137">
        <v>0</v>
      </c>
      <c r="G31" s="137">
        <f>F31</f>
        <v>0</v>
      </c>
      <c r="H31" s="137">
        <f t="shared" ref="H31:P31" si="3">G31</f>
        <v>0</v>
      </c>
      <c r="I31" s="137">
        <f t="shared" si="3"/>
        <v>0</v>
      </c>
      <c r="J31" s="137">
        <f t="shared" si="3"/>
        <v>0</v>
      </c>
      <c r="K31" s="137">
        <f t="shared" si="3"/>
        <v>0</v>
      </c>
      <c r="L31" s="137">
        <f t="shared" si="3"/>
        <v>0</v>
      </c>
      <c r="M31" s="137">
        <f t="shared" si="3"/>
        <v>0</v>
      </c>
      <c r="N31" s="137">
        <f t="shared" si="3"/>
        <v>0</v>
      </c>
      <c r="O31" s="137">
        <f t="shared" si="3"/>
        <v>0</v>
      </c>
      <c r="P31" s="137">
        <f t="shared" si="3"/>
        <v>0</v>
      </c>
      <c r="Q31" s="71"/>
      <c r="R31" s="71"/>
      <c r="S31" s="71"/>
      <c r="T31" s="157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</row>
    <row r="32" spans="1:36">
      <c r="A32" s="146"/>
      <c r="B32" s="173" t="s">
        <v>1126</v>
      </c>
      <c r="C32" s="186"/>
      <c r="D32" s="137"/>
      <c r="E32" s="71"/>
      <c r="F32" s="137">
        <v>0.05</v>
      </c>
      <c r="G32" s="137">
        <v>0.05</v>
      </c>
      <c r="H32" s="137">
        <v>0.05</v>
      </c>
      <c r="I32" s="137">
        <v>0.05</v>
      </c>
      <c r="J32" s="137">
        <v>0.05</v>
      </c>
      <c r="K32" s="137">
        <v>0.05</v>
      </c>
      <c r="L32" s="137">
        <v>0.05</v>
      </c>
      <c r="M32" s="137">
        <v>0.05</v>
      </c>
      <c r="N32" s="137">
        <v>0.05</v>
      </c>
      <c r="O32" s="137">
        <v>0.05</v>
      </c>
      <c r="P32" s="137">
        <v>0.05</v>
      </c>
      <c r="Q32" s="71"/>
      <c r="R32" s="71"/>
      <c r="S32" s="71"/>
      <c r="T32" s="157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</row>
    <row r="33" spans="1:31" s="6" customFormat="1" ht="29.25">
      <c r="A33" s="168"/>
      <c r="B33" s="178" t="s">
        <v>575</v>
      </c>
      <c r="C33" s="189" t="s">
        <v>27</v>
      </c>
      <c r="D33" s="196" t="s">
        <v>134</v>
      </c>
      <c r="E33" s="124"/>
      <c r="F33" s="138">
        <f>SUM(F34:F35)</f>
        <v>0</v>
      </c>
      <c r="G33" s="138">
        <f t="shared" ref="G33:P33" si="4">SUM(G34:G35)</f>
        <v>0</v>
      </c>
      <c r="H33" s="138">
        <f t="shared" si="4"/>
        <v>0</v>
      </c>
      <c r="I33" s="138">
        <f t="shared" si="4"/>
        <v>0</v>
      </c>
      <c r="J33" s="138">
        <f t="shared" si="4"/>
        <v>0</v>
      </c>
      <c r="K33" s="138">
        <f t="shared" si="4"/>
        <v>0</v>
      </c>
      <c r="L33" s="138">
        <f t="shared" si="4"/>
        <v>0</v>
      </c>
      <c r="M33" s="138">
        <f t="shared" si="4"/>
        <v>0</v>
      </c>
      <c r="N33" s="138">
        <f t="shared" si="4"/>
        <v>0</v>
      </c>
      <c r="O33" s="138">
        <f t="shared" si="4"/>
        <v>0</v>
      </c>
      <c r="P33" s="138">
        <f t="shared" si="4"/>
        <v>0</v>
      </c>
      <c r="Q33" s="124"/>
      <c r="R33" s="124"/>
      <c r="S33" s="124"/>
      <c r="T33" s="158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</row>
    <row r="34" spans="1:31">
      <c r="A34" s="169"/>
      <c r="B34" s="173" t="s">
        <v>576</v>
      </c>
      <c r="C34" s="186" t="s">
        <v>27</v>
      </c>
      <c r="D34" s="195"/>
      <c r="E34" s="71"/>
      <c r="F34" s="759">
        <v>0</v>
      </c>
      <c r="G34" s="759">
        <v>0</v>
      </c>
      <c r="H34" s="759">
        <v>0</v>
      </c>
      <c r="I34" s="759">
        <v>0</v>
      </c>
      <c r="J34" s="759">
        <v>0</v>
      </c>
      <c r="K34" s="759">
        <v>0</v>
      </c>
      <c r="L34" s="759">
        <v>0</v>
      </c>
      <c r="M34" s="759">
        <v>0</v>
      </c>
      <c r="N34" s="759">
        <v>0</v>
      </c>
      <c r="O34" s="759">
        <v>0</v>
      </c>
      <c r="P34" s="759">
        <v>0</v>
      </c>
      <c r="Q34" s="71"/>
      <c r="R34" s="71"/>
      <c r="S34" s="71"/>
      <c r="T34" s="157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</row>
    <row r="35" spans="1:31">
      <c r="A35" s="169"/>
      <c r="B35" s="173" t="s">
        <v>577</v>
      </c>
      <c r="C35" s="186" t="s">
        <v>27</v>
      </c>
      <c r="D35" s="195"/>
      <c r="E35" s="71"/>
      <c r="F35" s="759">
        <v>0</v>
      </c>
      <c r="G35" s="759">
        <v>0</v>
      </c>
      <c r="H35" s="759">
        <v>0</v>
      </c>
      <c r="I35" s="759">
        <v>0</v>
      </c>
      <c r="J35" s="759">
        <v>0</v>
      </c>
      <c r="K35" s="759">
        <v>0</v>
      </c>
      <c r="L35" s="759">
        <v>0</v>
      </c>
      <c r="M35" s="759">
        <v>0</v>
      </c>
      <c r="N35" s="759">
        <v>0</v>
      </c>
      <c r="O35" s="759">
        <v>0</v>
      </c>
      <c r="P35" s="759">
        <v>0</v>
      </c>
      <c r="Q35" s="71"/>
      <c r="R35" s="71"/>
      <c r="S35" s="71"/>
      <c r="T35" s="157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</row>
    <row r="36" spans="1:31">
      <c r="A36" s="169"/>
      <c r="B36" s="173"/>
      <c r="C36" s="186"/>
      <c r="D36" s="195"/>
      <c r="E36" s="71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71"/>
      <c r="R36" s="71"/>
      <c r="S36" s="71"/>
      <c r="T36" s="157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</row>
    <row r="37" spans="1:31" s="6" customFormat="1" ht="48" customHeight="1">
      <c r="A37" s="169"/>
      <c r="B37" s="178" t="s">
        <v>578</v>
      </c>
      <c r="C37" s="189" t="s">
        <v>27</v>
      </c>
      <c r="D37" s="138"/>
      <c r="E37" s="124"/>
      <c r="F37" s="819">
        <f t="shared" ref="F37:P37" si="5">SUM(F38:F39)</f>
        <v>0</v>
      </c>
      <c r="G37" s="819">
        <f t="shared" si="5"/>
        <v>0</v>
      </c>
      <c r="H37" s="819">
        <f t="shared" si="5"/>
        <v>0</v>
      </c>
      <c r="I37" s="819">
        <f t="shared" si="5"/>
        <v>0</v>
      </c>
      <c r="J37" s="819">
        <f t="shared" si="5"/>
        <v>0</v>
      </c>
      <c r="K37" s="819">
        <f t="shared" si="5"/>
        <v>0</v>
      </c>
      <c r="L37" s="819">
        <f t="shared" si="5"/>
        <v>0</v>
      </c>
      <c r="M37" s="819">
        <f t="shared" si="5"/>
        <v>0</v>
      </c>
      <c r="N37" s="819">
        <f t="shared" si="5"/>
        <v>0</v>
      </c>
      <c r="O37" s="819">
        <f t="shared" si="5"/>
        <v>0</v>
      </c>
      <c r="P37" s="819">
        <f t="shared" si="5"/>
        <v>0</v>
      </c>
      <c r="Q37" s="124"/>
      <c r="R37" s="71"/>
      <c r="S37" s="124"/>
      <c r="T37" s="158"/>
      <c r="U37" s="138">
        <f>SUM(U38:U39)</f>
        <v>7.0000000000000007E-2</v>
      </c>
      <c r="V37" s="138">
        <f>SUM(V38:V39)</f>
        <v>7.0000000000000007E-2</v>
      </c>
      <c r="W37" s="140">
        <f>SUM(W38:W39)</f>
        <v>0.155</v>
      </c>
      <c r="X37" s="124"/>
      <c r="Y37" s="124"/>
      <c r="Z37" s="124"/>
      <c r="AA37" s="124"/>
      <c r="AB37" s="124"/>
      <c r="AC37" s="124"/>
      <c r="AD37" s="124"/>
      <c r="AE37" s="761" t="s">
        <v>1053</v>
      </c>
    </row>
    <row r="38" spans="1:31">
      <c r="A38" s="146"/>
      <c r="B38" s="173" t="s">
        <v>576</v>
      </c>
      <c r="C38" s="186" t="s">
        <v>27</v>
      </c>
      <c r="D38" s="137"/>
      <c r="E38" s="71"/>
      <c r="F38" s="820">
        <v>0</v>
      </c>
      <c r="G38" s="820">
        <v>0</v>
      </c>
      <c r="H38" s="820">
        <v>0</v>
      </c>
      <c r="I38" s="820">
        <v>0</v>
      </c>
      <c r="J38" s="820">
        <v>0</v>
      </c>
      <c r="K38" s="820">
        <v>0</v>
      </c>
      <c r="L38" s="820">
        <v>0</v>
      </c>
      <c r="M38" s="820">
        <v>0</v>
      </c>
      <c r="N38" s="820">
        <v>0</v>
      </c>
      <c r="O38" s="820">
        <v>0</v>
      </c>
      <c r="P38" s="820">
        <v>0</v>
      </c>
      <c r="Q38" s="71"/>
      <c r="R38" s="71"/>
      <c r="S38" s="71"/>
      <c r="T38" s="157"/>
      <c r="U38" s="137">
        <v>0.02</v>
      </c>
      <c r="V38" s="137">
        <v>0.02</v>
      </c>
      <c r="W38" s="131">
        <v>0.02</v>
      </c>
      <c r="X38" s="71"/>
      <c r="Y38" s="71"/>
      <c r="Z38" s="71"/>
      <c r="AA38" s="71"/>
      <c r="AB38" s="71"/>
      <c r="AC38" s="71"/>
      <c r="AD38" s="71"/>
      <c r="AE38" s="71"/>
    </row>
    <row r="39" spans="1:31">
      <c r="A39" s="146"/>
      <c r="B39" s="173" t="s">
        <v>577</v>
      </c>
      <c r="C39" s="186" t="s">
        <v>27</v>
      </c>
      <c r="D39" s="137"/>
      <c r="E39" s="71"/>
      <c r="F39" s="821">
        <v>0</v>
      </c>
      <c r="G39" s="821">
        <v>0</v>
      </c>
      <c r="H39" s="821">
        <v>0</v>
      </c>
      <c r="I39" s="821">
        <v>0</v>
      </c>
      <c r="J39" s="821">
        <v>0</v>
      </c>
      <c r="K39" s="821">
        <v>0</v>
      </c>
      <c r="L39" s="821">
        <v>0</v>
      </c>
      <c r="M39" s="821">
        <v>0</v>
      </c>
      <c r="N39" s="821">
        <v>0</v>
      </c>
      <c r="O39" s="821">
        <v>0</v>
      </c>
      <c r="P39" s="821">
        <v>0</v>
      </c>
      <c r="Q39" s="71"/>
      <c r="R39" s="71"/>
      <c r="S39" s="71"/>
      <c r="T39" s="157"/>
      <c r="U39" s="137">
        <v>0.05</v>
      </c>
      <c r="V39" s="137">
        <v>0.05</v>
      </c>
      <c r="W39" s="131">
        <v>0.13500000000000001</v>
      </c>
      <c r="X39" s="71"/>
      <c r="Y39" s="71"/>
      <c r="Z39" s="71"/>
      <c r="AA39" s="71"/>
      <c r="AB39" s="71"/>
      <c r="AC39" s="71"/>
      <c r="AD39" s="71"/>
      <c r="AE39" s="71"/>
    </row>
    <row r="40" spans="1:31">
      <c r="A40" s="146"/>
      <c r="B40" s="173"/>
      <c r="C40" s="186"/>
      <c r="D40" s="137"/>
      <c r="E40" s="71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71"/>
      <c r="R40" s="71"/>
      <c r="S40" s="71"/>
      <c r="T40" s="157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</row>
    <row r="41" spans="1:31">
      <c r="A41" s="146"/>
      <c r="B41" s="173" t="s">
        <v>581</v>
      </c>
      <c r="C41" s="186"/>
      <c r="D41" s="137"/>
      <c r="E41" s="71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71"/>
      <c r="R41" s="71"/>
      <c r="S41" s="71"/>
      <c r="T41" s="157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</row>
    <row r="42" spans="1:31">
      <c r="A42" s="146"/>
      <c r="B42" s="173" t="s">
        <v>580</v>
      </c>
      <c r="C42" s="186" t="s">
        <v>27</v>
      </c>
      <c r="D42" s="137"/>
      <c r="E42" s="71"/>
      <c r="F42" s="137">
        <v>0.06</v>
      </c>
      <c r="G42" s="137">
        <v>0.06</v>
      </c>
      <c r="H42" s="137">
        <v>0.06</v>
      </c>
      <c r="I42" s="137">
        <v>0.06</v>
      </c>
      <c r="J42" s="137">
        <v>0.06</v>
      </c>
      <c r="K42" s="137">
        <v>0.06</v>
      </c>
      <c r="L42" s="137">
        <v>0.06</v>
      </c>
      <c r="M42" s="137">
        <v>0.06</v>
      </c>
      <c r="N42" s="137">
        <v>0.06</v>
      </c>
      <c r="O42" s="137">
        <v>0.06</v>
      </c>
      <c r="P42" s="137">
        <v>0.06</v>
      </c>
      <c r="Q42" s="71"/>
      <c r="R42" s="71"/>
      <c r="S42" s="71"/>
      <c r="T42" s="157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</row>
    <row r="43" spans="1:31" ht="30">
      <c r="A43" s="146"/>
      <c r="B43" s="173" t="s">
        <v>584</v>
      </c>
      <c r="C43" s="186" t="s">
        <v>27</v>
      </c>
      <c r="D43" s="137"/>
      <c r="E43" s="71"/>
      <c r="F43" s="137">
        <v>0</v>
      </c>
      <c r="G43" s="137">
        <v>0</v>
      </c>
      <c r="H43" s="137">
        <v>0</v>
      </c>
      <c r="I43" s="137">
        <v>0</v>
      </c>
      <c r="J43" s="137">
        <v>0</v>
      </c>
      <c r="K43" s="137">
        <v>0</v>
      </c>
      <c r="L43" s="137">
        <v>0</v>
      </c>
      <c r="M43" s="137">
        <v>0</v>
      </c>
      <c r="N43" s="137">
        <v>0</v>
      </c>
      <c r="O43" s="137">
        <v>0</v>
      </c>
      <c r="P43" s="137">
        <v>0</v>
      </c>
      <c r="Q43" s="71"/>
      <c r="R43" s="71"/>
      <c r="S43" s="71"/>
      <c r="T43" s="157"/>
      <c r="U43" s="137">
        <v>0.01</v>
      </c>
      <c r="V43" s="137">
        <v>0.01</v>
      </c>
      <c r="W43" s="71"/>
      <c r="X43" s="71"/>
      <c r="Y43" s="71"/>
      <c r="Z43" s="71"/>
      <c r="AA43" s="71"/>
      <c r="AB43" s="71"/>
      <c r="AC43" s="71"/>
      <c r="AD43" s="71"/>
      <c r="AE43" s="71" t="s">
        <v>579</v>
      </c>
    </row>
    <row r="44" spans="1:31">
      <c r="A44" s="146"/>
      <c r="B44" s="173"/>
      <c r="C44" s="186"/>
      <c r="D44" s="137"/>
      <c r="E44" s="71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71"/>
      <c r="R44" s="71"/>
      <c r="S44" s="71"/>
      <c r="T44" s="157"/>
      <c r="U44" s="162"/>
      <c r="V44" s="162"/>
      <c r="W44" s="71"/>
      <c r="X44" s="71"/>
      <c r="Y44" s="71"/>
      <c r="Z44" s="71"/>
      <c r="AA44" s="71"/>
      <c r="AB44" s="71"/>
      <c r="AC44" s="71"/>
      <c r="AD44" s="71"/>
      <c r="AE44" s="71"/>
    </row>
    <row r="45" spans="1:31" ht="30">
      <c r="A45" s="146"/>
      <c r="B45" s="173" t="s">
        <v>582</v>
      </c>
      <c r="C45" s="186" t="s">
        <v>27</v>
      </c>
      <c r="D45" s="137"/>
      <c r="E45" s="71"/>
      <c r="F45" s="137">
        <v>0.15</v>
      </c>
      <c r="G45" s="137">
        <v>0.15</v>
      </c>
      <c r="H45" s="137">
        <v>0.15</v>
      </c>
      <c r="I45" s="137">
        <v>0.15</v>
      </c>
      <c r="J45" s="137">
        <v>0.15</v>
      </c>
      <c r="K45" s="137">
        <v>0.15</v>
      </c>
      <c r="L45" s="137">
        <v>0.15</v>
      </c>
      <c r="M45" s="137">
        <v>0.15</v>
      </c>
      <c r="N45" s="137">
        <v>0.15</v>
      </c>
      <c r="O45" s="137">
        <v>0.15</v>
      </c>
      <c r="P45" s="137">
        <v>0.15</v>
      </c>
      <c r="Q45" s="71"/>
      <c r="R45" s="71"/>
      <c r="S45" s="71"/>
      <c r="T45" s="157"/>
      <c r="U45" s="162"/>
      <c r="V45" s="162"/>
      <c r="W45" s="71"/>
      <c r="X45" s="71"/>
      <c r="Y45" s="71"/>
      <c r="Z45" s="71"/>
      <c r="AA45" s="71"/>
      <c r="AB45" s="71"/>
      <c r="AC45" s="71"/>
      <c r="AD45" s="71"/>
      <c r="AE45" s="71"/>
    </row>
    <row r="46" spans="1:31" ht="30">
      <c r="A46" s="146"/>
      <c r="B46" s="173" t="s">
        <v>583</v>
      </c>
      <c r="C46" s="186" t="s">
        <v>27</v>
      </c>
      <c r="D46" s="137"/>
      <c r="E46" s="71"/>
      <c r="F46" s="137">
        <v>0.05</v>
      </c>
      <c r="G46" s="137">
        <v>0.05</v>
      </c>
      <c r="H46" s="137">
        <v>0.05</v>
      </c>
      <c r="I46" s="137">
        <v>0.05</v>
      </c>
      <c r="J46" s="137">
        <v>0.05</v>
      </c>
      <c r="K46" s="137">
        <v>0.05</v>
      </c>
      <c r="L46" s="137">
        <v>0.05</v>
      </c>
      <c r="M46" s="137">
        <v>0.05</v>
      </c>
      <c r="N46" s="137">
        <v>0.05</v>
      </c>
      <c r="O46" s="137">
        <v>0.05</v>
      </c>
      <c r="P46" s="137">
        <v>0.05</v>
      </c>
      <c r="Q46" s="71"/>
      <c r="R46" s="71"/>
      <c r="S46" s="71"/>
      <c r="T46" s="157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60" t="s">
        <v>1054</v>
      </c>
    </row>
    <row r="47" spans="1:31">
      <c r="A47" s="146"/>
      <c r="B47" s="173"/>
      <c r="C47" s="186"/>
      <c r="D47" s="137"/>
      <c r="E47" s="71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71"/>
      <c r="R47" s="71"/>
      <c r="S47" s="71"/>
      <c r="T47" s="157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</row>
    <row r="48" spans="1:31">
      <c r="A48" s="146"/>
      <c r="B48" s="173"/>
      <c r="C48" s="186"/>
      <c r="D48" s="137"/>
      <c r="E48" s="71"/>
      <c r="F48" s="137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71"/>
      <c r="R48" s="71"/>
      <c r="S48" s="71"/>
      <c r="T48" s="157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</row>
    <row r="49" spans="1:36" ht="30">
      <c r="A49" s="146"/>
      <c r="B49" s="173" t="s">
        <v>285</v>
      </c>
      <c r="C49" s="186" t="s">
        <v>27</v>
      </c>
      <c r="D49" s="134"/>
      <c r="E49" s="71"/>
      <c r="F49" s="131">
        <v>2.1999999999999999E-2</v>
      </c>
      <c r="G49" s="131">
        <v>2.1999999999999999E-2</v>
      </c>
      <c r="H49" s="131">
        <v>2.1999999999999999E-2</v>
      </c>
      <c r="I49" s="131">
        <v>2.1999999999999999E-2</v>
      </c>
      <c r="J49" s="131">
        <v>2.1999999999999999E-2</v>
      </c>
      <c r="K49" s="131">
        <v>2.1999999999999999E-2</v>
      </c>
      <c r="L49" s="131">
        <v>2.1999999999999999E-2</v>
      </c>
      <c r="M49" s="131">
        <v>2.1999999999999999E-2</v>
      </c>
      <c r="N49" s="131">
        <v>2.1999999999999999E-2</v>
      </c>
      <c r="O49" s="131">
        <v>2.1999999999999999E-2</v>
      </c>
      <c r="P49" s="131">
        <v>2.1999999999999999E-2</v>
      </c>
      <c r="Q49" s="71"/>
      <c r="R49" s="71"/>
      <c r="S49" s="71"/>
      <c r="T49" s="157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</row>
    <row r="50" spans="1:36">
      <c r="A50" s="146"/>
      <c r="B50" s="173" t="s">
        <v>873</v>
      </c>
      <c r="C50" s="186" t="s">
        <v>27</v>
      </c>
      <c r="D50" s="134"/>
      <c r="E50" s="71"/>
      <c r="F50" s="751">
        <v>0</v>
      </c>
      <c r="G50" s="751">
        <v>0</v>
      </c>
      <c r="H50" s="751">
        <v>0</v>
      </c>
      <c r="I50" s="751">
        <v>0</v>
      </c>
      <c r="J50" s="751">
        <v>0</v>
      </c>
      <c r="K50" s="751">
        <v>0</v>
      </c>
      <c r="L50" s="751">
        <v>0</v>
      </c>
      <c r="M50" s="751">
        <v>0</v>
      </c>
      <c r="N50" s="751">
        <v>0</v>
      </c>
      <c r="O50" s="751">
        <v>0</v>
      </c>
      <c r="P50" s="751">
        <v>2.1999999999999999E-2</v>
      </c>
      <c r="Q50" s="71"/>
      <c r="R50" s="71"/>
      <c r="S50" s="71"/>
      <c r="T50" s="157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62" t="s">
        <v>1055</v>
      </c>
      <c r="AF50" s="71"/>
      <c r="AG50" s="71"/>
      <c r="AH50" s="71"/>
      <c r="AI50" s="71"/>
      <c r="AJ50" s="71"/>
    </row>
    <row r="51" spans="1:36">
      <c r="A51" s="146"/>
      <c r="B51" s="173"/>
      <c r="C51" s="186"/>
      <c r="D51" s="134"/>
      <c r="E51" s="7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71"/>
      <c r="R51" s="71"/>
      <c r="S51" s="71"/>
      <c r="T51" s="157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7"/>
      <c r="AF51" s="71"/>
      <c r="AG51" s="71"/>
      <c r="AH51" s="71"/>
      <c r="AI51" s="71"/>
      <c r="AJ51" s="71"/>
    </row>
    <row r="52" spans="1:36">
      <c r="A52" s="146"/>
      <c r="B52" s="173" t="s">
        <v>287</v>
      </c>
      <c r="C52" s="186" t="s">
        <v>27</v>
      </c>
      <c r="D52" s="134"/>
      <c r="E52" s="71"/>
      <c r="F52" s="131">
        <v>1.4999999999999999E-2</v>
      </c>
      <c r="G52" s="131">
        <v>1.4999999999999999E-2</v>
      </c>
      <c r="H52" s="131">
        <v>1.4999999999999999E-2</v>
      </c>
      <c r="I52" s="131">
        <v>1.4999999999999999E-2</v>
      </c>
      <c r="J52" s="131">
        <v>1.4999999999999999E-2</v>
      </c>
      <c r="K52" s="131">
        <v>1.4999999999999999E-2</v>
      </c>
      <c r="L52" s="131">
        <v>1.4999999999999999E-2</v>
      </c>
      <c r="M52" s="131">
        <v>1.4999999999999999E-2</v>
      </c>
      <c r="N52" s="131">
        <v>1.4999999999999999E-2</v>
      </c>
      <c r="O52" s="131">
        <v>1.4999999999999999E-2</v>
      </c>
      <c r="P52" s="131">
        <v>1.4999999999999999E-2</v>
      </c>
      <c r="Q52" s="71"/>
      <c r="R52" s="71"/>
      <c r="S52" s="71"/>
      <c r="T52" s="157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7"/>
      <c r="AF52" s="71"/>
      <c r="AG52" s="71"/>
      <c r="AH52" s="71"/>
      <c r="AI52" s="71"/>
      <c r="AJ52" s="71"/>
    </row>
    <row r="53" spans="1:36" ht="30">
      <c r="A53" s="146"/>
      <c r="B53" s="173" t="s">
        <v>874</v>
      </c>
      <c r="C53" s="186" t="s">
        <v>27</v>
      </c>
      <c r="D53" s="134"/>
      <c r="E53" s="71"/>
      <c r="F53" s="751">
        <v>0</v>
      </c>
      <c r="G53" s="751">
        <v>0</v>
      </c>
      <c r="H53" s="751">
        <v>0</v>
      </c>
      <c r="I53" s="751">
        <v>0</v>
      </c>
      <c r="J53" s="751">
        <v>0</v>
      </c>
      <c r="K53" s="751">
        <v>1.4999999999999999E-2</v>
      </c>
      <c r="L53" s="751">
        <v>1.4999999999999999E-2</v>
      </c>
      <c r="M53" s="751">
        <v>1.4999999999999999E-2</v>
      </c>
      <c r="N53" s="751">
        <v>1.4999999999999999E-2</v>
      </c>
      <c r="O53" s="751">
        <v>1.4999999999999999E-2</v>
      </c>
      <c r="P53" s="751">
        <v>1.4999999999999999E-2</v>
      </c>
      <c r="Q53" s="71"/>
      <c r="R53" s="71"/>
      <c r="S53" s="71"/>
      <c r="T53" s="157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62" t="s">
        <v>1056</v>
      </c>
      <c r="AF53" s="71"/>
      <c r="AG53" s="71"/>
      <c r="AH53" s="71"/>
      <c r="AI53" s="71"/>
      <c r="AJ53" s="71"/>
    </row>
    <row r="54" spans="1:36">
      <c r="A54" s="146"/>
      <c r="B54" s="173"/>
      <c r="C54" s="186"/>
      <c r="D54" s="134"/>
      <c r="E54" s="71"/>
      <c r="F54" s="137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71"/>
      <c r="R54" s="71"/>
      <c r="S54" s="71"/>
      <c r="T54" s="157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</row>
    <row r="55" spans="1:36" ht="30">
      <c r="A55" s="146"/>
      <c r="B55" s="173" t="s">
        <v>288</v>
      </c>
      <c r="C55" s="186" t="s">
        <v>27</v>
      </c>
      <c r="D55" s="134"/>
      <c r="E55" s="71"/>
      <c r="F55" s="751">
        <f>2%*0.4</f>
        <v>8.0000000000000002E-3</v>
      </c>
      <c r="G55" s="751">
        <f>2%*0.4</f>
        <v>8.0000000000000002E-3</v>
      </c>
      <c r="H55" s="751">
        <f>2%*0.5</f>
        <v>0.01</v>
      </c>
      <c r="I55" s="751">
        <f>2%*0.6</f>
        <v>1.2E-2</v>
      </c>
      <c r="J55" s="751">
        <f>2%*0.7</f>
        <v>1.3999999999999999E-2</v>
      </c>
      <c r="K55" s="751">
        <f>2%*0.7</f>
        <v>1.3999999999999999E-2</v>
      </c>
      <c r="L55" s="751">
        <f>2%*0.7</f>
        <v>1.3999999999999999E-2</v>
      </c>
      <c r="M55" s="751">
        <f>2%*0.7</f>
        <v>1.3999999999999999E-2</v>
      </c>
      <c r="N55" s="751">
        <f>2%*0.7</f>
        <v>1.3999999999999999E-2</v>
      </c>
      <c r="O55" s="751">
        <v>0.02</v>
      </c>
      <c r="P55" s="751">
        <v>0.02</v>
      </c>
      <c r="Q55" s="71"/>
      <c r="R55" s="71"/>
      <c r="S55" s="71"/>
      <c r="T55" s="157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60" t="s">
        <v>1057</v>
      </c>
      <c r="AF55" s="71"/>
      <c r="AG55" s="71"/>
      <c r="AH55" s="71"/>
      <c r="AI55" s="71"/>
      <c r="AJ55" s="71"/>
    </row>
    <row r="56" spans="1:36">
      <c r="A56" s="146"/>
      <c r="B56" s="173"/>
      <c r="C56" s="186"/>
      <c r="D56" s="134"/>
      <c r="E56" s="71"/>
      <c r="F56" s="137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71"/>
      <c r="R56" s="71"/>
      <c r="S56" s="71"/>
      <c r="T56" s="157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</row>
    <row r="57" spans="1:36" s="13" customFormat="1" ht="15.75">
      <c r="A57" s="956" t="s">
        <v>779</v>
      </c>
      <c r="B57" s="957"/>
      <c r="C57" s="958"/>
      <c r="D57" s="129"/>
      <c r="E57" s="123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71"/>
      <c r="R57" s="129"/>
      <c r="S57" s="71"/>
      <c r="T57" s="157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</row>
    <row r="58" spans="1:36" ht="9.6" customHeight="1">
      <c r="A58" s="146"/>
      <c r="B58" s="173"/>
      <c r="C58" s="186"/>
      <c r="D58" s="134"/>
      <c r="E58" s="71"/>
      <c r="F58" s="137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71"/>
      <c r="R58" s="71"/>
      <c r="S58" s="71"/>
      <c r="T58" s="157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</row>
    <row r="59" spans="1:36">
      <c r="A59" s="146"/>
      <c r="B59" s="173" t="s">
        <v>127</v>
      </c>
      <c r="C59" s="186" t="s">
        <v>27</v>
      </c>
      <c r="D59" s="195" t="s">
        <v>134</v>
      </c>
      <c r="E59" s="71"/>
      <c r="F59" s="752">
        <v>0.3</v>
      </c>
      <c r="G59" s="752">
        <v>0.3</v>
      </c>
      <c r="H59" s="752">
        <v>0.3</v>
      </c>
      <c r="I59" s="752">
        <v>0.3</v>
      </c>
      <c r="J59" s="752">
        <v>0.3</v>
      </c>
      <c r="K59" s="752">
        <v>0.3</v>
      </c>
      <c r="L59" s="752">
        <v>0.3</v>
      </c>
      <c r="M59" s="752">
        <v>0.3</v>
      </c>
      <c r="N59" s="752">
        <v>0.3</v>
      </c>
      <c r="O59" s="752">
        <v>0.3</v>
      </c>
      <c r="P59" s="752">
        <v>0.3</v>
      </c>
      <c r="Q59" s="71"/>
      <c r="R59" s="71"/>
      <c r="S59" s="71"/>
      <c r="T59" s="157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</row>
    <row r="60" spans="1:36" ht="30">
      <c r="A60" s="146"/>
      <c r="B60" s="173" t="s">
        <v>129</v>
      </c>
      <c r="C60" s="186" t="s">
        <v>27</v>
      </c>
      <c r="D60" s="195" t="s">
        <v>134</v>
      </c>
      <c r="E60" s="71"/>
      <c r="F60" s="752">
        <v>0.151</v>
      </c>
      <c r="G60" s="752">
        <v>0.151</v>
      </c>
      <c r="H60" s="752">
        <v>0.151</v>
      </c>
      <c r="I60" s="752">
        <v>0.151</v>
      </c>
      <c r="J60" s="752">
        <v>0.151</v>
      </c>
      <c r="K60" s="752">
        <v>0.151</v>
      </c>
      <c r="L60" s="752">
        <v>0.151</v>
      </c>
      <c r="M60" s="752">
        <v>0.151</v>
      </c>
      <c r="N60" s="752">
        <v>0.151</v>
      </c>
      <c r="O60" s="752">
        <v>0.151</v>
      </c>
      <c r="P60" s="752">
        <v>0.151</v>
      </c>
      <c r="Q60" s="71"/>
      <c r="R60" s="71"/>
      <c r="S60" s="71"/>
      <c r="T60" s="157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</row>
    <row r="61" spans="1:36" ht="30">
      <c r="A61" s="146"/>
      <c r="B61" s="173" t="s">
        <v>128</v>
      </c>
      <c r="C61" s="186" t="s">
        <v>27</v>
      </c>
      <c r="D61" s="195" t="s">
        <v>134</v>
      </c>
      <c r="E61" s="71"/>
      <c r="F61" s="131">
        <v>0.15</v>
      </c>
      <c r="G61" s="146"/>
      <c r="H61" s="534">
        <v>0.15</v>
      </c>
      <c r="I61" s="534">
        <v>0.15</v>
      </c>
      <c r="J61" s="534">
        <v>0.15</v>
      </c>
      <c r="K61" s="534">
        <v>0.15</v>
      </c>
      <c r="L61" s="534">
        <v>0.15</v>
      </c>
      <c r="M61" s="534">
        <v>0.15</v>
      </c>
      <c r="N61" s="534">
        <v>0.15</v>
      </c>
      <c r="O61" s="534">
        <v>0.15</v>
      </c>
      <c r="P61" s="534">
        <v>0.15</v>
      </c>
      <c r="Q61" s="71"/>
      <c r="R61" s="71"/>
      <c r="S61" s="71"/>
      <c r="T61" s="157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</row>
    <row r="62" spans="1:36" ht="30">
      <c r="A62" s="133"/>
      <c r="B62" s="173" t="s">
        <v>875</v>
      </c>
      <c r="C62" s="188"/>
      <c r="D62" s="195" t="s">
        <v>134</v>
      </c>
      <c r="E62" s="71"/>
      <c r="F62" s="131">
        <v>7.5999999999999998E-2</v>
      </c>
      <c r="G62" s="131">
        <v>7.5999999999999998E-2</v>
      </c>
      <c r="H62" s="131">
        <v>7.5999999999999998E-2</v>
      </c>
      <c r="I62" s="131">
        <v>7.5999999999999998E-2</v>
      </c>
      <c r="J62" s="131">
        <v>7.5999999999999998E-2</v>
      </c>
      <c r="K62" s="131">
        <v>7.5999999999999998E-2</v>
      </c>
      <c r="L62" s="131">
        <v>7.5999999999999998E-2</v>
      </c>
      <c r="M62" s="131">
        <v>7.5999999999999998E-2</v>
      </c>
      <c r="N62" s="131">
        <v>7.5999999999999998E-2</v>
      </c>
      <c r="O62" s="131">
        <v>7.5999999999999998E-2</v>
      </c>
      <c r="P62" s="131">
        <v>0.30399999999999999</v>
      </c>
      <c r="Q62" s="71"/>
      <c r="R62" s="71"/>
      <c r="S62" s="71"/>
      <c r="T62" s="157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7"/>
      <c r="AF62" s="71" t="s">
        <v>442</v>
      </c>
      <c r="AG62" s="71"/>
      <c r="AH62" s="71"/>
      <c r="AI62" s="71"/>
      <c r="AJ62" s="71"/>
    </row>
    <row r="63" spans="1:36">
      <c r="A63" s="133"/>
      <c r="B63" s="177"/>
      <c r="C63" s="188"/>
      <c r="D63" s="134"/>
      <c r="E63" s="71"/>
      <c r="F63" s="139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71"/>
      <c r="R63" s="71"/>
      <c r="S63" s="71"/>
      <c r="T63" s="157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</row>
    <row r="64" spans="1:36" ht="29.25">
      <c r="A64" s="133"/>
      <c r="B64" s="178" t="s">
        <v>703</v>
      </c>
      <c r="C64" s="186" t="s">
        <v>27</v>
      </c>
      <c r="D64" s="195" t="s">
        <v>134</v>
      </c>
      <c r="E64" s="71"/>
      <c r="F64" s="140">
        <f>SUM(F65:F66)</f>
        <v>0.13</v>
      </c>
      <c r="G64" s="140">
        <f t="shared" ref="G64:P64" si="6">SUM(G65:G66)</f>
        <v>0.13</v>
      </c>
      <c r="H64" s="140">
        <f t="shared" si="6"/>
        <v>0.13</v>
      </c>
      <c r="I64" s="140">
        <f t="shared" si="6"/>
        <v>0.13</v>
      </c>
      <c r="J64" s="140">
        <f t="shared" si="6"/>
        <v>0.13</v>
      </c>
      <c r="K64" s="140">
        <f t="shared" si="6"/>
        <v>0.13</v>
      </c>
      <c r="L64" s="140">
        <f t="shared" si="6"/>
        <v>0.13</v>
      </c>
      <c r="M64" s="140">
        <f t="shared" si="6"/>
        <v>0.13</v>
      </c>
      <c r="N64" s="140">
        <f t="shared" si="6"/>
        <v>0.13</v>
      </c>
      <c r="O64" s="140">
        <f t="shared" si="6"/>
        <v>0.13</v>
      </c>
      <c r="P64" s="140">
        <f t="shared" si="6"/>
        <v>0.13</v>
      </c>
      <c r="Q64" s="71"/>
      <c r="R64" s="71"/>
      <c r="S64" s="71"/>
      <c r="T64" s="157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</row>
    <row r="65" spans="1:36">
      <c r="A65" s="133"/>
      <c r="B65" s="173" t="s">
        <v>704</v>
      </c>
      <c r="C65" s="186" t="s">
        <v>27</v>
      </c>
      <c r="D65" s="195"/>
      <c r="E65" s="71"/>
      <c r="F65" s="131">
        <v>0.11</v>
      </c>
      <c r="G65" s="131">
        <v>0.11</v>
      </c>
      <c r="H65" s="131">
        <v>0.11</v>
      </c>
      <c r="I65" s="131">
        <v>0.11</v>
      </c>
      <c r="J65" s="131">
        <v>0.11</v>
      </c>
      <c r="K65" s="131">
        <v>0.11</v>
      </c>
      <c r="L65" s="131">
        <v>0.11</v>
      </c>
      <c r="M65" s="131">
        <v>0.11</v>
      </c>
      <c r="N65" s="131">
        <v>0.11</v>
      </c>
      <c r="O65" s="131">
        <v>0.11</v>
      </c>
      <c r="P65" s="131">
        <v>0.11</v>
      </c>
      <c r="Q65" s="71"/>
      <c r="R65" s="71"/>
      <c r="S65" s="71"/>
      <c r="T65" s="157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</row>
    <row r="66" spans="1:36">
      <c r="A66" s="133"/>
      <c r="B66" s="173" t="s">
        <v>596</v>
      </c>
      <c r="C66" s="186" t="s">
        <v>27</v>
      </c>
      <c r="D66" s="195"/>
      <c r="E66" s="71"/>
      <c r="F66" s="139">
        <v>0.02</v>
      </c>
      <c r="G66" s="139">
        <v>0.02</v>
      </c>
      <c r="H66" s="139">
        <v>0.02</v>
      </c>
      <c r="I66" s="139">
        <v>0.02</v>
      </c>
      <c r="J66" s="139">
        <v>0.02</v>
      </c>
      <c r="K66" s="139">
        <v>0.02</v>
      </c>
      <c r="L66" s="139">
        <v>0.02</v>
      </c>
      <c r="M66" s="139">
        <v>0.02</v>
      </c>
      <c r="N66" s="139">
        <v>0.02</v>
      </c>
      <c r="O66" s="139">
        <v>0.02</v>
      </c>
      <c r="P66" s="139">
        <v>0.02</v>
      </c>
      <c r="Q66" s="71"/>
      <c r="R66" s="71"/>
      <c r="S66" s="71"/>
      <c r="T66" s="157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</row>
    <row r="67" spans="1:36">
      <c r="A67" s="133"/>
      <c r="B67" s="179"/>
      <c r="C67" s="188"/>
      <c r="D67" s="195"/>
      <c r="E67" s="71"/>
      <c r="F67" s="139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71"/>
      <c r="R67" s="71"/>
      <c r="S67" s="71"/>
      <c r="T67" s="157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</row>
    <row r="68" spans="1:36" ht="15.75">
      <c r="A68" s="956" t="s">
        <v>435</v>
      </c>
      <c r="B68" s="957"/>
      <c r="C68" s="958"/>
      <c r="D68" s="129"/>
      <c r="E68" s="123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71"/>
      <c r="R68" s="129"/>
      <c r="S68" s="71"/>
      <c r="T68" s="157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</row>
    <row r="69" spans="1:36" ht="7.15" customHeight="1">
      <c r="A69" s="133"/>
      <c r="B69" s="179"/>
      <c r="C69" s="188"/>
      <c r="D69" s="195"/>
      <c r="E69" s="71"/>
      <c r="F69" s="139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71"/>
      <c r="R69" s="71"/>
      <c r="S69" s="71"/>
      <c r="T69" s="157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</row>
    <row r="70" spans="1:36" ht="30">
      <c r="A70" s="133"/>
      <c r="B70" s="177" t="s">
        <v>334</v>
      </c>
      <c r="C70" s="188" t="s">
        <v>120</v>
      </c>
      <c r="D70" s="195"/>
      <c r="E70" s="71"/>
      <c r="F70" s="815">
        <v>2</v>
      </c>
      <c r="G70" s="815">
        <v>2</v>
      </c>
      <c r="H70" s="815">
        <v>2</v>
      </c>
      <c r="I70" s="815">
        <v>2</v>
      </c>
      <c r="J70" s="815">
        <v>2</v>
      </c>
      <c r="K70" s="815">
        <v>2</v>
      </c>
      <c r="L70" s="815">
        <v>2</v>
      </c>
      <c r="M70" s="815">
        <v>2</v>
      </c>
      <c r="N70" s="815">
        <v>2</v>
      </c>
      <c r="O70" s="815">
        <v>2</v>
      </c>
      <c r="P70" s="815">
        <v>2</v>
      </c>
      <c r="Q70" s="71"/>
      <c r="R70" s="71"/>
      <c r="S70" s="71"/>
      <c r="T70" s="157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</row>
    <row r="71" spans="1:36">
      <c r="A71" s="133"/>
      <c r="B71" s="177"/>
      <c r="C71" s="188"/>
      <c r="D71" s="195"/>
      <c r="E71" s="71"/>
      <c r="F71" s="139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71"/>
      <c r="R71" s="71"/>
      <c r="S71" s="71"/>
      <c r="T71" s="157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</row>
    <row r="72" spans="1:36" ht="30">
      <c r="A72" s="956" t="s">
        <v>587</v>
      </c>
      <c r="B72" s="957"/>
      <c r="C72" s="958"/>
      <c r="D72" s="129"/>
      <c r="E72" s="123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71"/>
      <c r="R72" s="129"/>
      <c r="S72" s="71"/>
      <c r="T72" s="157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164" t="s">
        <v>586</v>
      </c>
      <c r="AF72" s="71"/>
      <c r="AG72" s="71"/>
      <c r="AH72" s="71"/>
      <c r="AI72" s="71"/>
      <c r="AJ72" s="71"/>
    </row>
    <row r="73" spans="1:36">
      <c r="A73" s="133"/>
      <c r="B73" s="180"/>
      <c r="C73" s="188"/>
      <c r="D73" s="195"/>
      <c r="E73" s="71"/>
      <c r="F73" s="139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71"/>
      <c r="R73" s="71"/>
      <c r="S73" s="71"/>
      <c r="T73" s="157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</row>
    <row r="74" spans="1:36">
      <c r="A74" s="133"/>
      <c r="B74" s="164" t="s">
        <v>312</v>
      </c>
      <c r="C74" s="186" t="s">
        <v>27</v>
      </c>
      <c r="D74" s="195"/>
      <c r="E74" s="71"/>
      <c r="F74" s="137">
        <v>0</v>
      </c>
      <c r="G74" s="137">
        <v>0</v>
      </c>
      <c r="H74" s="137">
        <v>0</v>
      </c>
      <c r="I74" s="137">
        <v>0</v>
      </c>
      <c r="J74" s="137">
        <v>0</v>
      </c>
      <c r="K74" s="137">
        <v>0</v>
      </c>
      <c r="L74" s="137">
        <v>0</v>
      </c>
      <c r="M74" s="137">
        <v>0</v>
      </c>
      <c r="N74" s="137">
        <v>0</v>
      </c>
      <c r="O74" s="137">
        <v>0</v>
      </c>
      <c r="P74" s="137">
        <v>0</v>
      </c>
      <c r="Q74" s="71"/>
      <c r="R74" s="71"/>
      <c r="S74" s="71"/>
      <c r="T74" s="157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</row>
    <row r="75" spans="1:36">
      <c r="A75" s="133"/>
      <c r="B75" s="164" t="s">
        <v>585</v>
      </c>
      <c r="C75" s="186" t="s">
        <v>27</v>
      </c>
      <c r="D75" s="134"/>
      <c r="E75" s="71"/>
      <c r="F75" s="137">
        <v>0</v>
      </c>
      <c r="G75" s="137">
        <v>0</v>
      </c>
      <c r="H75" s="137">
        <v>0</v>
      </c>
      <c r="I75" s="137">
        <v>0</v>
      </c>
      <c r="J75" s="137">
        <v>0</v>
      </c>
      <c r="K75" s="137">
        <v>0</v>
      </c>
      <c r="L75" s="137">
        <v>0</v>
      </c>
      <c r="M75" s="137">
        <v>0</v>
      </c>
      <c r="N75" s="137">
        <v>0</v>
      </c>
      <c r="O75" s="137">
        <v>0</v>
      </c>
      <c r="P75" s="137">
        <v>0</v>
      </c>
      <c r="Q75" s="71"/>
      <c r="R75" s="71"/>
      <c r="S75" s="71"/>
      <c r="T75" s="157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</row>
    <row r="76" spans="1:36" ht="15.75" thickBot="1">
      <c r="A76" s="132"/>
      <c r="B76" s="174"/>
      <c r="C76" s="187"/>
      <c r="D76" s="132"/>
      <c r="E76" s="71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71"/>
      <c r="R76" s="71"/>
      <c r="S76" s="71"/>
      <c r="T76" s="157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</row>
    <row r="77" spans="1:36" ht="4.9000000000000004" customHeight="1">
      <c r="A77" s="133"/>
      <c r="B77" s="177"/>
      <c r="C77" s="188"/>
      <c r="D77" s="133"/>
      <c r="E77" s="71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71"/>
      <c r="R77" s="146"/>
      <c r="S77" s="71"/>
      <c r="T77" s="157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</row>
    <row r="78" spans="1:36" s="13" customFormat="1" ht="15.75">
      <c r="A78" s="950" t="s">
        <v>715</v>
      </c>
      <c r="B78" s="951"/>
      <c r="C78" s="952"/>
      <c r="D78" s="129"/>
      <c r="E78" s="123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71"/>
      <c r="R78" s="154"/>
      <c r="S78" s="71"/>
      <c r="T78" s="157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763" t="s">
        <v>1058</v>
      </c>
      <c r="AF78" s="161"/>
      <c r="AG78" s="161"/>
      <c r="AH78" s="161"/>
      <c r="AI78" s="161"/>
      <c r="AJ78" s="161"/>
    </row>
    <row r="79" spans="1:36" ht="24.95" customHeight="1">
      <c r="A79" s="146"/>
      <c r="B79" s="178" t="s">
        <v>147</v>
      </c>
      <c r="C79" s="186"/>
      <c r="D79" s="131"/>
      <c r="E79" s="71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71"/>
      <c r="R79" s="146"/>
      <c r="S79" s="71"/>
      <c r="T79" s="157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</row>
    <row r="80" spans="1:36" ht="42.4" customHeight="1">
      <c r="A80" s="133"/>
      <c r="B80" s="173" t="s">
        <v>146</v>
      </c>
      <c r="C80" s="186" t="s">
        <v>19</v>
      </c>
      <c r="D80" s="195" t="s">
        <v>134</v>
      </c>
      <c r="E80" s="71"/>
      <c r="F80" s="753">
        <v>150</v>
      </c>
      <c r="G80" s="149">
        <f>F80*Макро!G8</f>
        <v>158.4</v>
      </c>
      <c r="H80" s="149">
        <f>G80*Макро!H8</f>
        <v>167.27040000000002</v>
      </c>
      <c r="I80" s="149">
        <f>H80*Макро!I8</f>
        <v>176.63754240000003</v>
      </c>
      <c r="J80" s="149">
        <f>I80*Макро!J8</f>
        <v>186.52924477440004</v>
      </c>
      <c r="K80" s="149">
        <f>J80*Макро!K8</f>
        <v>196.97488248176646</v>
      </c>
      <c r="L80" s="149">
        <f>K80*Макро!L8</f>
        <v>208.00547590074538</v>
      </c>
      <c r="M80" s="149">
        <f>L80*Макро!M8</f>
        <v>219.65378255118713</v>
      </c>
      <c r="N80" s="149">
        <f>M80*Макро!N8</f>
        <v>231.95439437405363</v>
      </c>
      <c r="O80" s="149">
        <f>N80*Макро!O8</f>
        <v>244.94384045900065</v>
      </c>
      <c r="P80" s="149">
        <f>O80*Макро!P8</f>
        <v>258.66069552470469</v>
      </c>
      <c r="Q80" s="71"/>
      <c r="R80" s="71"/>
      <c r="S80" s="71"/>
      <c r="T80" s="157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64"/>
      <c r="AF80" s="71"/>
      <c r="AG80" s="71"/>
      <c r="AH80" s="71"/>
      <c r="AI80" s="71"/>
      <c r="AJ80" s="71"/>
    </row>
    <row r="81" spans="1:36" ht="47.45" customHeight="1">
      <c r="A81" s="133"/>
      <c r="B81" s="173" t="s">
        <v>433</v>
      </c>
      <c r="C81" s="186" t="s">
        <v>19</v>
      </c>
      <c r="D81" s="195" t="s">
        <v>134</v>
      </c>
      <c r="E81" s="71"/>
      <c r="F81" s="753">
        <v>130</v>
      </c>
      <c r="G81" s="149">
        <f>F81*Макро!G8</f>
        <v>137.28</v>
      </c>
      <c r="H81" s="149">
        <f>G81*Макро!H8</f>
        <v>144.96768</v>
      </c>
      <c r="I81" s="149">
        <f>H81*Макро!I8</f>
        <v>153.08587008000001</v>
      </c>
      <c r="J81" s="149">
        <f>I81*Макро!J8</f>
        <v>161.65867880448002</v>
      </c>
      <c r="K81" s="149">
        <f>J81*Макро!K8</f>
        <v>170.7115648175309</v>
      </c>
      <c r="L81" s="149">
        <f>K81*Макро!L8</f>
        <v>180.27141244731263</v>
      </c>
      <c r="M81" s="149">
        <f>L81*Макро!M8</f>
        <v>190.36661154436214</v>
      </c>
      <c r="N81" s="149">
        <f>M81*Макро!N8</f>
        <v>201.02714179084643</v>
      </c>
      <c r="O81" s="149">
        <f>N81*Макро!O8</f>
        <v>212.28466173113384</v>
      </c>
      <c r="P81" s="149">
        <f>O81*Макро!P8</f>
        <v>224.17260278807734</v>
      </c>
      <c r="Q81" s="71"/>
      <c r="R81" s="71"/>
      <c r="S81" s="71"/>
      <c r="T81" s="157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</row>
    <row r="82" spans="1:36" ht="15.75" thickBot="1">
      <c r="A82" s="132"/>
      <c r="B82" s="174"/>
      <c r="C82" s="187"/>
      <c r="D82" s="132"/>
      <c r="E82" s="71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71"/>
      <c r="R82" s="132"/>
      <c r="S82" s="71"/>
      <c r="T82" s="157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</row>
    <row r="83" spans="1:36" ht="4.9000000000000004" customHeight="1">
      <c r="A83" s="133"/>
      <c r="B83" s="177"/>
      <c r="C83" s="188"/>
      <c r="D83" s="133"/>
      <c r="E83" s="71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71"/>
      <c r="R83" s="133"/>
      <c r="S83" s="71"/>
      <c r="T83" s="157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</row>
    <row r="84" spans="1:36" s="13" customFormat="1" ht="15.75">
      <c r="A84" s="950" t="s">
        <v>716</v>
      </c>
      <c r="B84" s="951"/>
      <c r="C84" s="952"/>
      <c r="D84" s="129"/>
      <c r="E84" s="123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71"/>
      <c r="R84" s="129"/>
      <c r="S84" s="71"/>
      <c r="T84" s="157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</row>
    <row r="85" spans="1:36" s="13" customFormat="1" ht="8.4499999999999993" customHeight="1">
      <c r="A85" s="170"/>
      <c r="B85" s="181"/>
      <c r="C85" s="190"/>
      <c r="D85" s="142"/>
      <c r="E85" s="125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53"/>
      <c r="R85" s="142"/>
      <c r="S85" s="71"/>
      <c r="T85" s="157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</row>
    <row r="86" spans="1:36" s="13" customFormat="1" ht="15.4" customHeight="1">
      <c r="A86" s="171"/>
      <c r="B86" s="182" t="s">
        <v>705</v>
      </c>
      <c r="C86" s="191"/>
      <c r="D86" s="143"/>
      <c r="E86" s="12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71"/>
      <c r="R86" s="143"/>
      <c r="S86" s="71"/>
      <c r="T86" s="157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</row>
    <row r="87" spans="1:36" s="13" customFormat="1" ht="14.45" customHeight="1">
      <c r="A87" s="172"/>
      <c r="B87" s="181"/>
      <c r="C87" s="190"/>
      <c r="D87" s="142"/>
      <c r="E87" s="125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53"/>
      <c r="R87" s="142"/>
      <c r="S87" s="71"/>
      <c r="T87" s="157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</row>
    <row r="88" spans="1:36">
      <c r="A88" s="133"/>
      <c r="B88" s="173" t="s">
        <v>441</v>
      </c>
      <c r="C88" s="186" t="s">
        <v>852</v>
      </c>
      <c r="D88" s="131"/>
      <c r="E88" s="71"/>
      <c r="F88" s="754">
        <v>9.35</v>
      </c>
      <c r="G88" s="150">
        <f t="shared" ref="G88:P88" si="7">F88*G9</f>
        <v>9.5837499999999984</v>
      </c>
      <c r="H88" s="754">
        <v>9.35</v>
      </c>
      <c r="I88" s="150">
        <f t="shared" si="7"/>
        <v>9.5837499999999984</v>
      </c>
      <c r="J88" s="150">
        <f t="shared" si="7"/>
        <v>9.8233437499999976</v>
      </c>
      <c r="K88" s="150">
        <f t="shared" si="7"/>
        <v>9.9706939062499966</v>
      </c>
      <c r="L88" s="150">
        <f t="shared" si="7"/>
        <v>10.120254314843745</v>
      </c>
      <c r="M88" s="150">
        <f t="shared" si="7"/>
        <v>10.2720581295664</v>
      </c>
      <c r="N88" s="150">
        <f t="shared" si="7"/>
        <v>10.426139001509895</v>
      </c>
      <c r="O88" s="150">
        <f t="shared" si="7"/>
        <v>10.582531086532542</v>
      </c>
      <c r="P88" s="150">
        <f t="shared" si="7"/>
        <v>10.74126905283053</v>
      </c>
      <c r="Q88" s="71"/>
      <c r="R88" s="146"/>
      <c r="S88" s="71"/>
      <c r="T88" s="157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</row>
    <row r="89" spans="1:36">
      <c r="A89" s="133"/>
      <c r="B89" s="173" t="s">
        <v>440</v>
      </c>
      <c r="C89" s="186" t="s">
        <v>866</v>
      </c>
      <c r="D89" s="133"/>
      <c r="E89" s="71"/>
      <c r="F89" s="753">
        <v>950</v>
      </c>
      <c r="G89" s="149">
        <f t="shared" ref="G89:P89" si="8">F89*G9</f>
        <v>973.74999999999989</v>
      </c>
      <c r="H89" s="753">
        <v>950</v>
      </c>
      <c r="I89" s="149">
        <f t="shared" si="8"/>
        <v>973.74999999999989</v>
      </c>
      <c r="J89" s="149">
        <f t="shared" si="8"/>
        <v>998.09374999999977</v>
      </c>
      <c r="K89" s="149">
        <f t="shared" si="8"/>
        <v>1013.0651562499996</v>
      </c>
      <c r="L89" s="149">
        <f t="shared" si="8"/>
        <v>1028.2611335937495</v>
      </c>
      <c r="M89" s="149">
        <f t="shared" si="8"/>
        <v>1043.6850505976556</v>
      </c>
      <c r="N89" s="149">
        <f t="shared" si="8"/>
        <v>1059.3403263566204</v>
      </c>
      <c r="O89" s="149">
        <f t="shared" si="8"/>
        <v>1075.2304312519695</v>
      </c>
      <c r="P89" s="149">
        <f t="shared" si="8"/>
        <v>1091.358887720749</v>
      </c>
      <c r="Q89" s="71"/>
      <c r="R89" s="146"/>
      <c r="S89" s="71"/>
      <c r="T89" s="157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</row>
    <row r="90" spans="1:36">
      <c r="A90" s="133"/>
      <c r="B90" s="177"/>
      <c r="C90" s="188"/>
      <c r="D90" s="133"/>
      <c r="E90" s="71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71"/>
      <c r="R90" s="71"/>
      <c r="S90" s="71"/>
      <c r="T90" s="157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</row>
    <row r="91" spans="1:36">
      <c r="A91" s="133"/>
      <c r="B91" s="177" t="s">
        <v>452</v>
      </c>
      <c r="C91" s="186" t="s">
        <v>186</v>
      </c>
      <c r="D91" s="195" t="s">
        <v>134</v>
      </c>
      <c r="E91" s="71"/>
      <c r="F91" s="754">
        <v>8</v>
      </c>
      <c r="G91" s="150">
        <f t="shared" ref="G91:P91" si="9">F91*G11</f>
        <v>8.32</v>
      </c>
      <c r="H91" s="754">
        <v>8</v>
      </c>
      <c r="I91" s="150">
        <f t="shared" si="9"/>
        <v>8.32</v>
      </c>
      <c r="J91" s="150">
        <f t="shared" si="9"/>
        <v>8.6528000000000009</v>
      </c>
      <c r="K91" s="150">
        <f t="shared" si="9"/>
        <v>8.9989120000000007</v>
      </c>
      <c r="L91" s="150">
        <f t="shared" si="9"/>
        <v>9.3588684800000017</v>
      </c>
      <c r="M91" s="150">
        <f t="shared" si="9"/>
        <v>9.7332232192000028</v>
      </c>
      <c r="N91" s="150">
        <f t="shared" si="9"/>
        <v>10.122552147968003</v>
      </c>
      <c r="O91" s="150">
        <f t="shared" si="9"/>
        <v>10.527454233886724</v>
      </c>
      <c r="P91" s="150">
        <f t="shared" si="9"/>
        <v>10.948552403242193</v>
      </c>
      <c r="Q91" s="71"/>
      <c r="R91" s="146"/>
      <c r="S91" s="71"/>
      <c r="T91" s="157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</row>
    <row r="92" spans="1:36">
      <c r="A92" s="133"/>
      <c r="B92" s="177" t="s">
        <v>451</v>
      </c>
      <c r="C92" s="186" t="s">
        <v>186</v>
      </c>
      <c r="D92" s="195" t="s">
        <v>134</v>
      </c>
      <c r="E92" s="71"/>
      <c r="F92" s="754">
        <v>45</v>
      </c>
      <c r="G92" s="150">
        <f t="shared" ref="G92:P92" si="10">F92*G11</f>
        <v>46.800000000000004</v>
      </c>
      <c r="H92" s="754">
        <v>45</v>
      </c>
      <c r="I92" s="150">
        <f t="shared" si="10"/>
        <v>46.800000000000004</v>
      </c>
      <c r="J92" s="150">
        <f t="shared" si="10"/>
        <v>48.672000000000004</v>
      </c>
      <c r="K92" s="150">
        <f t="shared" si="10"/>
        <v>50.618880000000004</v>
      </c>
      <c r="L92" s="150">
        <f t="shared" si="10"/>
        <v>52.643635200000006</v>
      </c>
      <c r="M92" s="150">
        <f t="shared" si="10"/>
        <v>54.74938060800001</v>
      </c>
      <c r="N92" s="150">
        <f t="shared" si="10"/>
        <v>56.939355832320011</v>
      </c>
      <c r="O92" s="150">
        <f t="shared" si="10"/>
        <v>59.216930065612814</v>
      </c>
      <c r="P92" s="150">
        <f t="shared" si="10"/>
        <v>61.585607268237332</v>
      </c>
      <c r="Q92" s="71"/>
      <c r="R92" s="71"/>
      <c r="S92" s="71"/>
      <c r="T92" s="157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</row>
    <row r="93" spans="1:36" ht="30">
      <c r="A93" s="133"/>
      <c r="B93" s="177" t="s">
        <v>455</v>
      </c>
      <c r="C93" s="186" t="s">
        <v>186</v>
      </c>
      <c r="D93" s="195" t="s">
        <v>134</v>
      </c>
      <c r="E93" s="71"/>
      <c r="F93" s="754">
        <v>20</v>
      </c>
      <c r="G93" s="136">
        <f t="shared" ref="G93:P93" si="11">F93*G11</f>
        <v>20.8</v>
      </c>
      <c r="H93" s="754">
        <v>20</v>
      </c>
      <c r="I93" s="136">
        <f t="shared" si="11"/>
        <v>20.8</v>
      </c>
      <c r="J93" s="136">
        <f t="shared" si="11"/>
        <v>21.632000000000001</v>
      </c>
      <c r="K93" s="136">
        <f t="shared" si="11"/>
        <v>22.497280000000003</v>
      </c>
      <c r="L93" s="136">
        <f t="shared" si="11"/>
        <v>23.397171200000006</v>
      </c>
      <c r="M93" s="136">
        <f t="shared" si="11"/>
        <v>24.333058048000009</v>
      </c>
      <c r="N93" s="136">
        <f t="shared" si="11"/>
        <v>25.30638036992001</v>
      </c>
      <c r="O93" s="136">
        <f t="shared" si="11"/>
        <v>26.318635584716812</v>
      </c>
      <c r="P93" s="136">
        <f t="shared" si="11"/>
        <v>27.371381008105487</v>
      </c>
      <c r="Q93" s="71"/>
      <c r="R93" s="71"/>
      <c r="S93" s="71"/>
      <c r="T93" s="157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</row>
    <row r="94" spans="1:36" ht="30">
      <c r="A94" s="133"/>
      <c r="B94" s="177" t="s">
        <v>454</v>
      </c>
      <c r="C94" s="186" t="s">
        <v>186</v>
      </c>
      <c r="D94" s="195"/>
      <c r="E94" s="71"/>
      <c r="F94" s="755"/>
      <c r="G94" s="136"/>
      <c r="H94" s="755"/>
      <c r="I94" s="136"/>
      <c r="J94" s="136"/>
      <c r="K94" s="136"/>
      <c r="L94" s="136"/>
      <c r="M94" s="136"/>
      <c r="N94" s="136"/>
      <c r="O94" s="136"/>
      <c r="P94" s="136"/>
      <c r="Q94" s="71"/>
      <c r="R94" s="71"/>
      <c r="S94" s="71"/>
      <c r="T94" s="157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</row>
    <row r="95" spans="1:36">
      <c r="A95" s="133"/>
      <c r="B95" s="177" t="s">
        <v>249</v>
      </c>
      <c r="C95" s="186" t="s">
        <v>186</v>
      </c>
      <c r="D95" s="195" t="s">
        <v>134</v>
      </c>
      <c r="E95" s="71"/>
      <c r="F95" s="755">
        <v>5</v>
      </c>
      <c r="G95" s="136">
        <f t="shared" ref="G95:P95" si="12">F95*G11</f>
        <v>5.2</v>
      </c>
      <c r="H95" s="755">
        <v>5</v>
      </c>
      <c r="I95" s="136">
        <f t="shared" si="12"/>
        <v>5.2</v>
      </c>
      <c r="J95" s="136">
        <f t="shared" si="12"/>
        <v>5.4080000000000004</v>
      </c>
      <c r="K95" s="136">
        <f t="shared" si="12"/>
        <v>5.6243200000000009</v>
      </c>
      <c r="L95" s="136">
        <f t="shared" si="12"/>
        <v>5.8492928000000015</v>
      </c>
      <c r="M95" s="136">
        <f t="shared" si="12"/>
        <v>6.0832645120000022</v>
      </c>
      <c r="N95" s="136">
        <f t="shared" si="12"/>
        <v>6.3265950924800025</v>
      </c>
      <c r="O95" s="136">
        <f t="shared" si="12"/>
        <v>6.5796588961792031</v>
      </c>
      <c r="P95" s="136">
        <f t="shared" si="12"/>
        <v>6.8428452520263718</v>
      </c>
      <c r="Q95" s="71"/>
      <c r="R95" s="71"/>
      <c r="S95" s="71"/>
      <c r="T95" s="157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</row>
    <row r="96" spans="1:36">
      <c r="A96" s="133"/>
      <c r="B96" s="177"/>
      <c r="C96" s="188"/>
      <c r="D96" s="133"/>
      <c r="E96" s="71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71"/>
      <c r="R96" s="71"/>
      <c r="S96" s="71"/>
      <c r="T96" s="157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</row>
    <row r="97" spans="1:31">
      <c r="A97" s="133"/>
      <c r="B97" s="177" t="s">
        <v>187</v>
      </c>
      <c r="C97" s="188" t="s">
        <v>864</v>
      </c>
      <c r="D97" s="195" t="s">
        <v>134</v>
      </c>
      <c r="E97" s="71"/>
      <c r="F97" s="753">
        <v>2140</v>
      </c>
      <c r="G97" s="149">
        <f t="shared" ref="G97:P97" si="13">F97*G10</f>
        <v>2193.5</v>
      </c>
      <c r="H97" s="753">
        <v>2140</v>
      </c>
      <c r="I97" s="149">
        <f t="shared" si="13"/>
        <v>2193.5</v>
      </c>
      <c r="J97" s="149">
        <f t="shared" si="13"/>
        <v>2248.3374999999996</v>
      </c>
      <c r="K97" s="149">
        <f t="shared" si="13"/>
        <v>2282.0625624999993</v>
      </c>
      <c r="L97" s="149">
        <f t="shared" si="13"/>
        <v>2316.2935009374992</v>
      </c>
      <c r="M97" s="149">
        <f t="shared" si="13"/>
        <v>2351.0379034515613</v>
      </c>
      <c r="N97" s="149">
        <f t="shared" si="13"/>
        <v>2386.3034720033347</v>
      </c>
      <c r="O97" s="149">
        <f t="shared" si="13"/>
        <v>2422.0980240833846</v>
      </c>
      <c r="P97" s="149">
        <f t="shared" si="13"/>
        <v>2458.4294944446351</v>
      </c>
      <c r="Q97" s="71"/>
      <c r="R97" s="146"/>
      <c r="S97" s="71"/>
      <c r="T97" s="157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</row>
    <row r="98" spans="1:31">
      <c r="A98" s="133"/>
      <c r="B98" s="177"/>
      <c r="C98" s="188"/>
      <c r="D98" s="133"/>
      <c r="E98" s="71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71"/>
      <c r="R98" s="71"/>
      <c r="S98" s="71"/>
      <c r="T98" s="157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</row>
    <row r="99" spans="1:31">
      <c r="A99" s="133"/>
      <c r="B99" s="177" t="s">
        <v>188</v>
      </c>
      <c r="C99" s="188" t="s">
        <v>186</v>
      </c>
      <c r="D99" s="195" t="s">
        <v>134</v>
      </c>
      <c r="E99" s="71"/>
      <c r="F99" s="754">
        <v>6.4</v>
      </c>
      <c r="G99" s="150">
        <f t="shared" ref="G99:P99" si="14">F99*G12</f>
        <v>6.56</v>
      </c>
      <c r="H99" s="754">
        <v>6.4</v>
      </c>
      <c r="I99" s="150">
        <f t="shared" si="14"/>
        <v>6.56</v>
      </c>
      <c r="J99" s="150">
        <f t="shared" si="14"/>
        <v>6.7239999999999993</v>
      </c>
      <c r="K99" s="150">
        <f t="shared" si="14"/>
        <v>6.8248599999999984</v>
      </c>
      <c r="L99" s="150">
        <f t="shared" si="14"/>
        <v>6.9272328999999973</v>
      </c>
      <c r="M99" s="150">
        <f t="shared" si="14"/>
        <v>7.0311413934999969</v>
      </c>
      <c r="N99" s="150">
        <f t="shared" si="14"/>
        <v>7.1366085144024964</v>
      </c>
      <c r="O99" s="150">
        <f t="shared" si="14"/>
        <v>7.2436576421185332</v>
      </c>
      <c r="P99" s="150">
        <f t="shared" si="14"/>
        <v>7.3523125067503106</v>
      </c>
      <c r="Q99" s="71"/>
      <c r="R99" s="146"/>
      <c r="S99" s="71"/>
      <c r="T99" s="157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</row>
    <row r="100" spans="1:31">
      <c r="A100" s="133"/>
      <c r="B100" s="177"/>
      <c r="C100" s="188"/>
      <c r="D100" s="195"/>
      <c r="E100" s="71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71"/>
      <c r="R100" s="146"/>
      <c r="S100" s="71"/>
      <c r="T100" s="157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</row>
    <row r="101" spans="1:31" ht="15.75" thickBot="1">
      <c r="A101" s="132"/>
      <c r="B101" s="174"/>
      <c r="C101" s="187"/>
      <c r="D101" s="132"/>
      <c r="E101" s="71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71"/>
      <c r="R101" s="132"/>
      <c r="S101" s="71"/>
      <c r="T101" s="157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</row>
    <row r="102" spans="1:31">
      <c r="A102" s="146"/>
      <c r="B102" s="146"/>
      <c r="C102" s="192"/>
      <c r="D102" s="146"/>
      <c r="E102" s="71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71"/>
      <c r="R102" s="146"/>
      <c r="S102" s="71"/>
      <c r="T102" s="157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146"/>
    </row>
    <row r="103" spans="1:31" ht="30" customHeight="1">
      <c r="A103" s="953" t="s">
        <v>759</v>
      </c>
      <c r="B103" s="954"/>
      <c r="C103" s="955"/>
      <c r="D103" s="147"/>
      <c r="E103" s="123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71"/>
      <c r="R103" s="147"/>
      <c r="S103" s="71"/>
      <c r="T103" s="157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</row>
    <row r="104" spans="1:31" ht="15.75">
      <c r="A104" s="950" t="s">
        <v>711</v>
      </c>
      <c r="B104" s="951"/>
      <c r="C104" s="952"/>
      <c r="D104" s="129"/>
      <c r="E104" s="71"/>
      <c r="F104" s="148" t="s">
        <v>766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</row>
    <row r="105" spans="1:31" ht="30">
      <c r="A105" s="71"/>
      <c r="B105" s="183" t="s">
        <v>143</v>
      </c>
      <c r="C105" s="186" t="s">
        <v>120</v>
      </c>
      <c r="D105" s="71"/>
      <c r="E105" s="71"/>
      <c r="F105" s="130">
        <v>1.05</v>
      </c>
      <c r="G105" s="130">
        <v>1.05</v>
      </c>
      <c r="H105" s="130">
        <v>1.05</v>
      </c>
      <c r="I105" s="130">
        <v>1.05</v>
      </c>
      <c r="J105" s="130">
        <v>1.05</v>
      </c>
      <c r="K105" s="130">
        <v>1.05</v>
      </c>
      <c r="L105" s="130">
        <v>1.05</v>
      </c>
      <c r="M105" s="130">
        <v>1.05</v>
      </c>
      <c r="N105" s="130">
        <v>1.05</v>
      </c>
      <c r="O105" s="130">
        <v>1.05</v>
      </c>
      <c r="P105" s="130">
        <v>1.05</v>
      </c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</row>
    <row r="106" spans="1:31">
      <c r="A106" s="71"/>
      <c r="B106" s="183" t="s">
        <v>105</v>
      </c>
      <c r="C106" s="186" t="s">
        <v>27</v>
      </c>
      <c r="D106" s="71"/>
      <c r="E106" s="71"/>
      <c r="F106" s="131">
        <v>0.02</v>
      </c>
      <c r="G106" s="131">
        <v>0.02</v>
      </c>
      <c r="H106" s="131">
        <v>0.02</v>
      </c>
      <c r="I106" s="131">
        <v>0.02</v>
      </c>
      <c r="J106" s="131">
        <v>0.02</v>
      </c>
      <c r="K106" s="131">
        <v>0.02</v>
      </c>
      <c r="L106" s="131">
        <v>0.02</v>
      </c>
      <c r="M106" s="131">
        <v>0.02</v>
      </c>
      <c r="N106" s="131">
        <v>0.02</v>
      </c>
      <c r="O106" s="131">
        <v>0.02</v>
      </c>
      <c r="P106" s="131">
        <v>0.02</v>
      </c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</row>
    <row r="107" spans="1:31" ht="30">
      <c r="A107" s="71"/>
      <c r="B107" s="183" t="s">
        <v>697</v>
      </c>
      <c r="C107" s="186" t="s">
        <v>120</v>
      </c>
      <c r="D107" s="71"/>
      <c r="E107" s="71"/>
      <c r="F107" s="130">
        <v>1.06</v>
      </c>
      <c r="G107" s="130">
        <v>1.06</v>
      </c>
      <c r="H107" s="130">
        <v>1.06</v>
      </c>
      <c r="I107" s="130">
        <v>1.06</v>
      </c>
      <c r="J107" s="130">
        <v>1.06</v>
      </c>
      <c r="K107" s="130">
        <v>1.06</v>
      </c>
      <c r="L107" s="130">
        <v>1.06</v>
      </c>
      <c r="M107" s="130">
        <v>1.06</v>
      </c>
      <c r="N107" s="130">
        <v>1.06</v>
      </c>
      <c r="O107" s="130">
        <v>1.06</v>
      </c>
      <c r="P107" s="130">
        <v>1.06</v>
      </c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</row>
    <row r="108" spans="1:31" ht="30">
      <c r="A108" s="71"/>
      <c r="B108" s="183" t="s">
        <v>698</v>
      </c>
      <c r="C108" s="186" t="s">
        <v>120</v>
      </c>
      <c r="D108" s="71"/>
      <c r="E108" s="71"/>
      <c r="F108" s="130">
        <v>1.06</v>
      </c>
      <c r="G108" s="130">
        <v>1.06</v>
      </c>
      <c r="H108" s="130">
        <v>1.06</v>
      </c>
      <c r="I108" s="130">
        <v>1.06</v>
      </c>
      <c r="J108" s="130">
        <v>1.06</v>
      </c>
      <c r="K108" s="130">
        <v>1.06</v>
      </c>
      <c r="L108" s="130">
        <v>1.06</v>
      </c>
      <c r="M108" s="130">
        <v>1.06</v>
      </c>
      <c r="N108" s="130">
        <v>1.06</v>
      </c>
      <c r="O108" s="130">
        <v>1.06</v>
      </c>
      <c r="P108" s="130">
        <v>1.06</v>
      </c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</row>
    <row r="109" spans="1:31" ht="30">
      <c r="A109" s="71"/>
      <c r="B109" s="183" t="s">
        <v>699</v>
      </c>
      <c r="C109" s="186" t="s">
        <v>120</v>
      </c>
      <c r="D109" s="71"/>
      <c r="E109" s="71"/>
      <c r="F109" s="130">
        <v>1.06</v>
      </c>
      <c r="G109" s="130">
        <v>1.06</v>
      </c>
      <c r="H109" s="130">
        <v>1.06</v>
      </c>
      <c r="I109" s="130">
        <v>1.06</v>
      </c>
      <c r="J109" s="130">
        <v>1.06</v>
      </c>
      <c r="K109" s="130">
        <v>1.06</v>
      </c>
      <c r="L109" s="130">
        <v>1.06</v>
      </c>
      <c r="M109" s="130">
        <v>1.06</v>
      </c>
      <c r="N109" s="130">
        <v>1.06</v>
      </c>
      <c r="O109" s="130">
        <v>1.06</v>
      </c>
      <c r="P109" s="130">
        <v>1.06</v>
      </c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</row>
    <row r="110" spans="1:31" ht="30">
      <c r="A110" s="71"/>
      <c r="B110" s="183" t="s">
        <v>700</v>
      </c>
      <c r="C110" s="186" t="s">
        <v>120</v>
      </c>
      <c r="D110" s="71"/>
      <c r="E110" s="71"/>
      <c r="F110" s="130">
        <v>1.06</v>
      </c>
      <c r="G110" s="130">
        <v>1.06</v>
      </c>
      <c r="H110" s="130">
        <v>1.06</v>
      </c>
      <c r="I110" s="130">
        <v>1.06</v>
      </c>
      <c r="J110" s="130">
        <v>1.06</v>
      </c>
      <c r="K110" s="130">
        <v>1.06</v>
      </c>
      <c r="L110" s="130">
        <v>1.06</v>
      </c>
      <c r="M110" s="130">
        <v>1.06</v>
      </c>
      <c r="N110" s="130">
        <v>1.06</v>
      </c>
      <c r="O110" s="130">
        <v>1.06</v>
      </c>
      <c r="P110" s="130">
        <v>1.06</v>
      </c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</row>
    <row r="111" spans="1:31">
      <c r="A111" s="71"/>
      <c r="B111" s="183" t="s">
        <v>701</v>
      </c>
      <c r="C111" s="186" t="s">
        <v>120</v>
      </c>
      <c r="D111" s="71"/>
      <c r="E111" s="71"/>
      <c r="F111" s="130">
        <v>1.06</v>
      </c>
      <c r="G111" s="130">
        <v>1.06</v>
      </c>
      <c r="H111" s="130">
        <v>1.06</v>
      </c>
      <c r="I111" s="130">
        <v>1.06</v>
      </c>
      <c r="J111" s="130">
        <v>1.06</v>
      </c>
      <c r="K111" s="130">
        <v>1.06</v>
      </c>
      <c r="L111" s="130">
        <v>1.06</v>
      </c>
      <c r="M111" s="130">
        <v>1.06</v>
      </c>
      <c r="N111" s="130">
        <v>1.06</v>
      </c>
      <c r="O111" s="130">
        <v>1.06</v>
      </c>
      <c r="P111" s="130">
        <v>1.06</v>
      </c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</row>
    <row r="112" spans="1:31" ht="15.75">
      <c r="A112" s="950" t="s">
        <v>712</v>
      </c>
      <c r="B112" s="951"/>
      <c r="C112" s="952"/>
      <c r="D112" s="129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</row>
    <row r="113" spans="1:16">
      <c r="A113" s="71"/>
      <c r="B113" s="183" t="s">
        <v>144</v>
      </c>
      <c r="C113" s="193" t="s">
        <v>27</v>
      </c>
      <c r="D113" s="71"/>
      <c r="E113" s="71"/>
      <c r="F113" s="131">
        <v>0.16</v>
      </c>
      <c r="G113" s="131">
        <v>0.16</v>
      </c>
      <c r="H113" s="131">
        <v>0.16</v>
      </c>
      <c r="I113" s="131">
        <v>0.16</v>
      </c>
      <c r="J113" s="131">
        <v>0.16</v>
      </c>
      <c r="K113" s="131">
        <v>0.16</v>
      </c>
      <c r="L113" s="131">
        <v>0.16</v>
      </c>
      <c r="M113" s="131">
        <v>0.16</v>
      </c>
      <c r="N113" s="131">
        <v>0.16</v>
      </c>
      <c r="O113" s="131">
        <v>0.16</v>
      </c>
      <c r="P113" s="131">
        <v>0.16</v>
      </c>
    </row>
    <row r="114" spans="1:16">
      <c r="A114" s="71"/>
      <c r="B114" s="183" t="s">
        <v>745</v>
      </c>
      <c r="C114" s="193" t="s">
        <v>27</v>
      </c>
      <c r="D114" s="71"/>
      <c r="E114" s="71"/>
      <c r="F114" s="131">
        <v>0.2</v>
      </c>
      <c r="G114" s="131">
        <v>0.2</v>
      </c>
      <c r="H114" s="131">
        <v>0.2</v>
      </c>
      <c r="I114" s="131">
        <v>0.2</v>
      </c>
      <c r="J114" s="131">
        <v>0.2</v>
      </c>
      <c r="K114" s="131">
        <v>0.2</v>
      </c>
      <c r="L114" s="131">
        <v>0.2</v>
      </c>
      <c r="M114" s="131">
        <v>0.2</v>
      </c>
      <c r="N114" s="131">
        <v>0.2</v>
      </c>
      <c r="O114" s="131">
        <v>0.2</v>
      </c>
      <c r="P114" s="131">
        <v>0.2</v>
      </c>
    </row>
    <row r="115" spans="1:16">
      <c r="A115" s="71"/>
      <c r="B115" s="183" t="s">
        <v>746</v>
      </c>
      <c r="C115" s="193" t="s">
        <v>27</v>
      </c>
      <c r="D115" s="71"/>
      <c r="E115" s="71"/>
      <c r="F115" s="134">
        <v>0.18</v>
      </c>
      <c r="G115" s="134">
        <v>0.18</v>
      </c>
      <c r="H115" s="134">
        <v>0.18</v>
      </c>
      <c r="I115" s="134">
        <v>0.18</v>
      </c>
      <c r="J115" s="134">
        <v>0.18</v>
      </c>
      <c r="K115" s="134">
        <v>0.18</v>
      </c>
      <c r="L115" s="134">
        <v>0.18</v>
      </c>
      <c r="M115" s="134">
        <v>0.18</v>
      </c>
      <c r="N115" s="134">
        <v>0.18</v>
      </c>
      <c r="O115" s="134">
        <v>0.18</v>
      </c>
      <c r="P115" s="134">
        <v>0.18</v>
      </c>
    </row>
    <row r="116" spans="1:16">
      <c r="A116" s="71"/>
      <c r="B116" s="183" t="s">
        <v>664</v>
      </c>
      <c r="C116" s="193" t="s">
        <v>27</v>
      </c>
      <c r="D116" s="71"/>
      <c r="E116" s="71"/>
      <c r="F116" s="134">
        <v>0.1</v>
      </c>
      <c r="G116" s="134">
        <v>0.1</v>
      </c>
      <c r="H116" s="134">
        <v>0.1</v>
      </c>
      <c r="I116" s="134">
        <v>0.1</v>
      </c>
      <c r="J116" s="134">
        <v>0.1</v>
      </c>
      <c r="K116" s="134">
        <v>0.1</v>
      </c>
      <c r="L116" s="134">
        <v>0.1</v>
      </c>
      <c r="M116" s="134">
        <v>0.1</v>
      </c>
      <c r="N116" s="134">
        <v>0.1</v>
      </c>
      <c r="O116" s="134">
        <v>0.1</v>
      </c>
      <c r="P116" s="134">
        <v>0.1</v>
      </c>
    </row>
    <row r="117" spans="1:16" ht="15.75">
      <c r="A117" s="950" t="s">
        <v>713</v>
      </c>
      <c r="B117" s="951"/>
      <c r="C117" s="952"/>
      <c r="D117" s="129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</row>
    <row r="118" spans="1:16">
      <c r="A118" s="71"/>
      <c r="B118" s="183" t="s">
        <v>184</v>
      </c>
      <c r="C118" s="186" t="s">
        <v>183</v>
      </c>
      <c r="D118" s="131"/>
      <c r="E118" s="71"/>
      <c r="F118" s="135">
        <v>91</v>
      </c>
      <c r="G118" s="135">
        <v>91</v>
      </c>
      <c r="H118" s="135">
        <v>91</v>
      </c>
      <c r="I118" s="135">
        <v>91</v>
      </c>
      <c r="J118" s="135">
        <v>91</v>
      </c>
      <c r="K118" s="135">
        <v>91</v>
      </c>
      <c r="L118" s="135">
        <v>91</v>
      </c>
      <c r="M118" s="135">
        <v>91</v>
      </c>
      <c r="N118" s="135">
        <v>91</v>
      </c>
      <c r="O118" s="135">
        <v>91</v>
      </c>
      <c r="P118" s="135">
        <v>91</v>
      </c>
    </row>
    <row r="119" spans="1:16">
      <c r="A119" s="71"/>
      <c r="B119" s="183" t="s">
        <v>185</v>
      </c>
      <c r="C119" s="186" t="s">
        <v>182</v>
      </c>
      <c r="D119" s="131"/>
      <c r="E119" s="71"/>
      <c r="F119" s="135">
        <v>100</v>
      </c>
      <c r="G119" s="135">
        <v>100</v>
      </c>
      <c r="H119" s="135">
        <v>100</v>
      </c>
      <c r="I119" s="135">
        <v>100</v>
      </c>
      <c r="J119" s="135">
        <v>100</v>
      </c>
      <c r="K119" s="135">
        <v>100</v>
      </c>
      <c r="L119" s="135">
        <v>100</v>
      </c>
      <c r="M119" s="135">
        <v>100</v>
      </c>
      <c r="N119" s="135">
        <v>100</v>
      </c>
      <c r="O119" s="135">
        <v>100</v>
      </c>
      <c r="P119" s="135">
        <v>100</v>
      </c>
    </row>
    <row r="120" spans="1:16">
      <c r="A120" s="71"/>
      <c r="B120" s="173" t="s">
        <v>776</v>
      </c>
      <c r="C120" s="186" t="s">
        <v>777</v>
      </c>
      <c r="D120" s="133"/>
      <c r="E120" s="71"/>
      <c r="F120" s="136">
        <v>12.7</v>
      </c>
      <c r="G120" s="136">
        <v>12.7</v>
      </c>
      <c r="H120" s="136">
        <v>12.7</v>
      </c>
      <c r="I120" s="136">
        <v>12.7</v>
      </c>
      <c r="J120" s="136">
        <v>12.7</v>
      </c>
      <c r="K120" s="136">
        <v>12.7</v>
      </c>
      <c r="L120" s="136">
        <v>12.7</v>
      </c>
      <c r="M120" s="136">
        <v>12.7</v>
      </c>
      <c r="N120" s="136">
        <v>12.7</v>
      </c>
      <c r="O120" s="136">
        <v>12.7</v>
      </c>
      <c r="P120" s="136">
        <v>12.7</v>
      </c>
    </row>
  </sheetData>
  <mergeCells count="13">
    <mergeCell ref="A104:C104"/>
    <mergeCell ref="A112:C112"/>
    <mergeCell ref="A117:C117"/>
    <mergeCell ref="A103:C103"/>
    <mergeCell ref="A5:C5"/>
    <mergeCell ref="A30:C30"/>
    <mergeCell ref="A24:C24"/>
    <mergeCell ref="A78:C78"/>
    <mergeCell ref="A84:C84"/>
    <mergeCell ref="A15:C15"/>
    <mergeCell ref="A57:C57"/>
    <mergeCell ref="A68:C68"/>
    <mergeCell ref="A72:C72"/>
  </mergeCells>
  <hyperlinks>
    <hyperlink ref="AE30" r:id="rId1"/>
    <hyperlink ref="I1" location="Контроль!A1" display="Контроль!A1"/>
    <hyperlink ref="AE6" r:id="rId2" display="https://www.cbr.ru/about_br/publ/ondkp/on_2025_2027/"/>
    <hyperlink ref="AE16" r:id="rId3" display="https://www.cbr.ru/about_br/publ/ondkp/on_2025_2027/"/>
    <hyperlink ref="AE8" r:id="rId4"/>
    <hyperlink ref="AE37" r:id="rId5"/>
    <hyperlink ref="AE46" r:id="rId6"/>
    <hyperlink ref="AE50" r:id="rId7"/>
    <hyperlink ref="AE53" r:id="rId8"/>
    <hyperlink ref="AE55" r:id="rId9"/>
    <hyperlink ref="AE78" r:id="rId10"/>
  </hyperlinks>
  <pageMargins left="0.70866141732283472" right="0.70866141732283472" top="0.74803149606299213" bottom="0.74803149606299213" header="0.31496062992125984" footer="0.31496062992125984"/>
  <pageSetup paperSize="9" scale="52" fitToHeight="7" orientation="landscape" r:id="rId11"/>
  <headerFooter>
    <oddFooter>&amp;C&amp;9Страница  &amp;P из &amp;N&amp;R&amp;G</oddFooter>
  </headerFooter>
  <drawing r:id="rId12"/>
  <legacyDrawingHF r:id="rId1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Макро!F93:P93</xm:f>
              <xm:sqref>R93</xm:sqref>
            </x14:sparkline>
            <x14:sparkline>
              <xm:f>Макро!F94:P94</xm:f>
              <xm:sqref>R94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Макро!F12:P12</xm:f>
              <xm:sqref>R12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Макро!F11:P11</xm:f>
              <xm:sqref>R11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Макро!F10:P10</xm:f>
              <xm:sqref>R10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Макро!F9:P9</xm:f>
              <xm:sqref>R9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Макро!F96:P96</xm:f>
              <xm:sqref>R96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Макро!F90:P90</xm:f>
              <xm:sqref>R90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Макро!F81:P81</xm:f>
              <xm:sqref>R81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Макро!F8:P8</xm:f>
              <xm:sqref>R8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Макро!F7:P7</xm:f>
              <xm:sqref>R7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Макро!F6:P6</xm:f>
              <xm:sqref>R6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Макро!F91:P91</xm:f>
              <xm:sqref>R91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Макро!F97:P97</xm:f>
              <xm:sqref>R97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Макро!F102:P102</xm:f>
              <xm:sqref>R102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Макро!F17:P17</xm:f>
              <xm:sqref>R17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Макро!F16:P16</xm:f>
              <xm:sqref>R16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Макро!F92:P92</xm:f>
              <xm:sqref>R92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Макро!F26:P26</xm:f>
              <xm:sqref>R26</xm:sqref>
            </x14:sparkline>
            <x14:sparkline>
              <xm:f>Макро!F25:P25</xm:f>
              <xm:sqref>R25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Макро!F99:P99</xm:f>
              <xm:sqref>R99</xm:sqref>
            </x14:sparkline>
            <x14:sparkline>
              <xm:f>Макро!F100:P100</xm:f>
              <xm:sqref>R100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Макро!F59:P59</xm:f>
              <xm:sqref>R59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Макро!F88:P88</xm:f>
              <xm:sqref>R88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Макро!F98:P98</xm:f>
              <xm:sqref>R98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Макро!F47:P47</xm:f>
              <xm:sqref>R47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Макро!F80:P80</xm:f>
              <xm:sqref>R80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Макро!F95:P95</xm:f>
              <xm:sqref>R95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Макро!F89:P89</xm:f>
              <xm:sqref>R89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outlinePr summaryRight="0"/>
    <pageSetUpPr fitToPage="1"/>
  </sheetPr>
  <dimension ref="A1:N61"/>
  <sheetViews>
    <sheetView zoomScale="115" zoomScaleNormal="115" workbookViewId="0">
      <selection activeCell="G31" sqref="G31"/>
    </sheetView>
  </sheetViews>
  <sheetFormatPr defaultColWidth="8.85546875" defaultRowHeight="15"/>
  <cols>
    <col min="1" max="1" width="61.28515625" style="28" customWidth="1"/>
    <col min="2" max="2" width="8.85546875" style="28"/>
    <col min="3" max="3" width="10.5703125" style="28" bestFit="1" customWidth="1"/>
    <col min="4" max="4" width="63.140625" style="28" customWidth="1"/>
    <col min="5" max="16384" width="8.85546875" style="28"/>
  </cols>
  <sheetData>
    <row r="1" spans="1:4" ht="18.75">
      <c r="A1" s="651" t="s">
        <v>353</v>
      </c>
      <c r="B1" s="71"/>
      <c r="C1" s="203"/>
      <c r="D1" s="220"/>
    </row>
    <row r="2" spans="1:4">
      <c r="A2" s="71" t="str">
        <f>Паспорт_ФМ_резидент!$B$7</f>
        <v>Разработка, производство, модернизация и реализация …</v>
      </c>
      <c r="B2" s="151" t="str">
        <f ca="1">Контроль!$Q$1</f>
        <v>Ошибок нет</v>
      </c>
      <c r="C2" s="200"/>
      <c r="D2" s="71"/>
    </row>
    <row r="3" spans="1:4">
      <c r="A3" s="200"/>
      <c r="B3" s="200"/>
      <c r="C3" s="213"/>
      <c r="D3" s="71"/>
    </row>
    <row r="4" spans="1:4">
      <c r="A4" s="201" t="s">
        <v>662</v>
      </c>
      <c r="B4" s="201"/>
      <c r="C4" s="214"/>
      <c r="D4" s="71"/>
    </row>
    <row r="5" spans="1:4">
      <c r="A5" s="202" t="s">
        <v>495</v>
      </c>
      <c r="B5" s="207" t="s">
        <v>661</v>
      </c>
      <c r="C5" s="215">
        <f>Финансы!D7</f>
        <v>20000</v>
      </c>
      <c r="D5" s="221" t="str">
        <f t="array" aca="1" ref="D5" ca="1">HYPERLINK(CELL("адрес",Финансы!D7),"источник")</f>
        <v>источник</v>
      </c>
    </row>
    <row r="6" spans="1:4">
      <c r="A6" s="202"/>
      <c r="B6" s="207"/>
      <c r="C6" s="216" t="str">
        <f>"/"</f>
        <v>/</v>
      </c>
      <c r="D6" s="71"/>
    </row>
    <row r="7" spans="1:4">
      <c r="A7" s="202" t="s">
        <v>657</v>
      </c>
      <c r="B7" s="207" t="s">
        <v>66</v>
      </c>
      <c r="C7" s="215">
        <f ca="1">C5+C11</f>
        <v>20000</v>
      </c>
      <c r="D7" s="71"/>
    </row>
    <row r="8" spans="1:4">
      <c r="A8" s="202"/>
      <c r="B8" s="207"/>
      <c r="C8" s="216" t="s">
        <v>654</v>
      </c>
      <c r="D8" s="71"/>
    </row>
    <row r="9" spans="1:4">
      <c r="A9" s="202" t="s">
        <v>660</v>
      </c>
      <c r="B9" s="207" t="s">
        <v>659</v>
      </c>
      <c r="C9" s="217">
        <f>C21</f>
        <v>0.10183921568627441</v>
      </c>
      <c r="D9" s="71"/>
    </row>
    <row r="10" spans="1:4">
      <c r="A10" s="202"/>
      <c r="B10" s="207"/>
      <c r="C10" s="216" t="str">
        <f>"+"</f>
        <v>+</v>
      </c>
      <c r="D10" s="71"/>
    </row>
    <row r="11" spans="1:4">
      <c r="A11" s="202" t="s">
        <v>496</v>
      </c>
      <c r="B11" s="207" t="s">
        <v>658</v>
      </c>
      <c r="C11" s="215">
        <f ca="1">Финансы!D22</f>
        <v>0</v>
      </c>
      <c r="D11" s="221" t="str">
        <f t="array" aca="1" ref="D11" ca="1">HYPERLINK(CELL("адрес",Финансы!D22),"источник")</f>
        <v>источник</v>
      </c>
    </row>
    <row r="12" spans="1:4">
      <c r="A12" s="202"/>
      <c r="B12" s="207"/>
      <c r="C12" s="216" t="str">
        <f>"/"</f>
        <v>/</v>
      </c>
      <c r="D12" s="71"/>
    </row>
    <row r="13" spans="1:4">
      <c r="A13" s="202" t="s">
        <v>657</v>
      </c>
      <c r="B13" s="207" t="s">
        <v>66</v>
      </c>
      <c r="C13" s="215">
        <f ca="1">C7</f>
        <v>20000</v>
      </c>
      <c r="D13" s="71"/>
    </row>
    <row r="14" spans="1:4">
      <c r="A14" s="202"/>
      <c r="B14" s="207"/>
      <c r="C14" s="216" t="s">
        <v>654</v>
      </c>
      <c r="D14" s="71"/>
    </row>
    <row r="15" spans="1:4">
      <c r="A15" s="202" t="s">
        <v>656</v>
      </c>
      <c r="B15" s="207" t="s">
        <v>655</v>
      </c>
      <c r="C15" s="217" t="e">
        <f ca="1">B29</f>
        <v>#DIV/0!</v>
      </c>
      <c r="D15" s="71"/>
    </row>
    <row r="16" spans="1:4">
      <c r="A16" s="202"/>
      <c r="B16" s="207"/>
      <c r="C16" s="216" t="s">
        <v>654</v>
      </c>
      <c r="D16" s="71"/>
    </row>
    <row r="17" spans="1:14">
      <c r="A17" s="202" t="s">
        <v>653</v>
      </c>
      <c r="B17" s="207" t="s">
        <v>652</v>
      </c>
      <c r="C17" s="217" t="e">
        <f ca="1">1-B34</f>
        <v>#DIV/0!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4">
      <c r="A18" s="202"/>
      <c r="B18" s="207"/>
      <c r="C18" s="216" t="str">
        <f>"="</f>
        <v>=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>
      <c r="A19" s="201" t="s">
        <v>354</v>
      </c>
      <c r="B19" s="201"/>
      <c r="C19" s="214" t="e">
        <f ca="1">C5/C7*C9+C11/C13*C15*C17</f>
        <v>#DIV/0!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>
      <c r="A20" s="203"/>
      <c r="B20" s="203"/>
      <c r="C20" s="21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>
      <c r="A21" s="204" t="s">
        <v>358</v>
      </c>
      <c r="B21" s="208"/>
      <c r="C21" s="211">
        <f>(1+C22+C24*C23+C25+C26)*(1+0.04)/(1+0.02)-1</f>
        <v>0.10183921568627441</v>
      </c>
      <c r="D21" s="204" t="s">
        <v>367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1:14">
      <c r="A22" s="205" t="s">
        <v>651</v>
      </c>
      <c r="B22" s="209"/>
      <c r="C22" s="199">
        <v>4.19E-2</v>
      </c>
      <c r="D22" s="205" t="s">
        <v>368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4">
      <c r="A23" s="205" t="s">
        <v>360</v>
      </c>
      <c r="B23" s="209"/>
      <c r="C23" s="199">
        <v>4.4999999999999998E-2</v>
      </c>
      <c r="D23" s="205" t="s">
        <v>369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1:14">
      <c r="A24" s="205" t="s">
        <v>362</v>
      </c>
      <c r="B24" s="209"/>
      <c r="C24" s="219">
        <v>0.75</v>
      </c>
      <c r="D24" s="205" t="s">
        <v>370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1:14">
      <c r="A25" s="205" t="s">
        <v>363</v>
      </c>
      <c r="B25" s="209"/>
      <c r="C25" s="199">
        <v>0</v>
      </c>
      <c r="D25" s="205" t="s">
        <v>369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1:14">
      <c r="A26" s="205" t="s">
        <v>364</v>
      </c>
      <c r="B26" s="209"/>
      <c r="C26" s="199">
        <v>5.0000000000000001E-3</v>
      </c>
      <c r="D26" s="205" t="s">
        <v>369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>
      <c r="A27" s="203"/>
      <c r="B27" s="210"/>
      <c r="C27" s="218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14" customForma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14" customFormat="1">
      <c r="A29" s="204" t="s">
        <v>650</v>
      </c>
      <c r="B29" s="211" t="e">
        <f ca="1">SUMPRODUCT(E30:N30,E31:N31)/SUM(E30:N30)</f>
        <v>#DIV/0!</v>
      </c>
      <c r="C29" s="204"/>
      <c r="D29" s="204" t="s">
        <v>649</v>
      </c>
      <c r="E29" s="197">
        <v>2025</v>
      </c>
      <c r="F29" s="197">
        <v>2026</v>
      </c>
      <c r="G29" s="197">
        <v>2027</v>
      </c>
      <c r="H29" s="197">
        <v>2028</v>
      </c>
      <c r="I29" s="197">
        <v>2029</v>
      </c>
      <c r="J29" s="197">
        <v>2030</v>
      </c>
      <c r="K29" s="197">
        <v>2031</v>
      </c>
      <c r="L29" s="197">
        <v>2032</v>
      </c>
      <c r="M29" s="197">
        <v>2033</v>
      </c>
      <c r="N29" s="197">
        <v>2034</v>
      </c>
    </row>
    <row r="30" spans="1:14" customFormat="1">
      <c r="A30" s="205"/>
      <c r="B30" s="205"/>
      <c r="C30" s="71"/>
      <c r="D30" s="205" t="s">
        <v>648</v>
      </c>
      <c r="E30" s="198">
        <f ca="1">(Финансы!F21+Финансы!F24)/2</f>
        <v>0</v>
      </c>
      <c r="F30" s="198">
        <f ca="1">(Финансы!G21+Финансы!G24)/2</f>
        <v>0</v>
      </c>
      <c r="G30" s="198">
        <f ca="1">(Финансы!H21+Финансы!H24)/2</f>
        <v>0</v>
      </c>
      <c r="H30" s="198">
        <f ca="1">(Финансы!I21+Финансы!I24)/2</f>
        <v>0</v>
      </c>
      <c r="I30" s="198">
        <f ca="1">(Финансы!J21+Финансы!J24)/2</f>
        <v>0</v>
      </c>
      <c r="J30" s="198">
        <f ca="1">(Финансы!K21+Финансы!K24)/2</f>
        <v>0</v>
      </c>
      <c r="K30" s="198">
        <f ca="1">(Финансы!L21+Финансы!L24)/2</f>
        <v>0</v>
      </c>
      <c r="L30" s="198">
        <f ca="1">(Финансы!M21+Финансы!M24)/2</f>
        <v>0</v>
      </c>
      <c r="M30" s="198">
        <f ca="1">(Финансы!N21+Финансы!N24)/2</f>
        <v>0</v>
      </c>
      <c r="N30" s="198">
        <f ca="1">(Финансы!O21+Финансы!O24)/2</f>
        <v>0</v>
      </c>
    </row>
    <row r="31" spans="1:14" customFormat="1">
      <c r="A31" s="205"/>
      <c r="B31" s="71"/>
      <c r="C31" s="71"/>
      <c r="D31" s="205" t="s">
        <v>647</v>
      </c>
      <c r="E31" s="199">
        <f>Финансы!F30</f>
        <v>0.245</v>
      </c>
      <c r="F31" s="199">
        <f>Финансы!G30</f>
        <v>0.245</v>
      </c>
      <c r="G31" s="199">
        <f>Финансы!H30</f>
        <v>0.245</v>
      </c>
      <c r="H31" s="199">
        <f>Финансы!I30</f>
        <v>0.245</v>
      </c>
      <c r="I31" s="199">
        <f>Финансы!J30</f>
        <v>0.245</v>
      </c>
      <c r="J31" s="199">
        <f>Финансы!K30</f>
        <v>0.245</v>
      </c>
      <c r="K31" s="199">
        <f>Финансы!L30</f>
        <v>0.245</v>
      </c>
      <c r="L31" s="199">
        <f>Финансы!M30</f>
        <v>0.245</v>
      </c>
      <c r="M31" s="199">
        <f>Финансы!N30</f>
        <v>0.245</v>
      </c>
      <c r="N31" s="199">
        <f>Финансы!O30</f>
        <v>0.245</v>
      </c>
    </row>
    <row r="32" spans="1:14" customFormat="1">
      <c r="A32" s="205"/>
      <c r="B32" s="71"/>
      <c r="C32" s="71"/>
      <c r="D32" s="222" t="s">
        <v>646</v>
      </c>
      <c r="E32" s="199"/>
      <c r="F32" s="199"/>
      <c r="G32" s="199"/>
      <c r="H32" s="199"/>
      <c r="I32" s="199"/>
      <c r="J32" s="199"/>
      <c r="K32" s="199"/>
      <c r="L32" s="199"/>
      <c r="M32" s="199"/>
      <c r="N32" s="199"/>
    </row>
    <row r="33" spans="1:14" customForma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1:14" customFormat="1">
      <c r="A34" s="204" t="s">
        <v>645</v>
      </c>
      <c r="B34" s="211" t="e">
        <f ca="1">SUMPRODUCT(E35:N35,E36:N36)/SUM(E35:N35)</f>
        <v>#DIV/0!</v>
      </c>
      <c r="C34" s="204"/>
      <c r="D34" s="204" t="s">
        <v>644</v>
      </c>
      <c r="E34" s="197">
        <f t="shared" ref="E34:N34" si="0">E29</f>
        <v>2025</v>
      </c>
      <c r="F34" s="197">
        <f t="shared" si="0"/>
        <v>2026</v>
      </c>
      <c r="G34" s="197">
        <f t="shared" si="0"/>
        <v>2027</v>
      </c>
      <c r="H34" s="197">
        <f t="shared" si="0"/>
        <v>2028</v>
      </c>
      <c r="I34" s="197">
        <f t="shared" si="0"/>
        <v>2029</v>
      </c>
      <c r="J34" s="197">
        <f t="shared" si="0"/>
        <v>2030</v>
      </c>
      <c r="K34" s="197">
        <f t="shared" si="0"/>
        <v>2031</v>
      </c>
      <c r="L34" s="197">
        <f t="shared" si="0"/>
        <v>2032</v>
      </c>
      <c r="M34" s="197">
        <f t="shared" si="0"/>
        <v>2033</v>
      </c>
      <c r="N34" s="197">
        <f t="shared" si="0"/>
        <v>2034</v>
      </c>
    </row>
    <row r="35" spans="1:14" customFormat="1">
      <c r="A35" s="205"/>
      <c r="B35" s="205"/>
      <c r="C35" s="71"/>
      <c r="D35" s="205" t="s">
        <v>643</v>
      </c>
      <c r="E35" s="198">
        <f ca="1">Финансы!F26</f>
        <v>0</v>
      </c>
      <c r="F35" s="198">
        <f ca="1">Финансы!G26</f>
        <v>0</v>
      </c>
      <c r="G35" s="198">
        <f ca="1">Финансы!H26</f>
        <v>0</v>
      </c>
      <c r="H35" s="198">
        <f ca="1">Финансы!I26</f>
        <v>0</v>
      </c>
      <c r="I35" s="198">
        <f ca="1">Финансы!J26</f>
        <v>0</v>
      </c>
      <c r="J35" s="198">
        <f ca="1">Финансы!K26</f>
        <v>0</v>
      </c>
      <c r="K35" s="198">
        <f ca="1">Финансы!L26</f>
        <v>0</v>
      </c>
      <c r="L35" s="198">
        <f ca="1">Финансы!M26</f>
        <v>0</v>
      </c>
      <c r="M35" s="198">
        <f ca="1">Финансы!N26</f>
        <v>0</v>
      </c>
      <c r="N35" s="198">
        <f ca="1">Финансы!O26</f>
        <v>0</v>
      </c>
    </row>
    <row r="36" spans="1:14" customFormat="1">
      <c r="A36" s="205"/>
      <c r="B36" s="205"/>
      <c r="C36" s="71"/>
      <c r="D36" s="205" t="s">
        <v>642</v>
      </c>
      <c r="E36" s="199">
        <f>Макро!G39</f>
        <v>0</v>
      </c>
      <c r="F36" s="199">
        <f>Макро!H39</f>
        <v>0</v>
      </c>
      <c r="G36" s="199">
        <f>Макро!I39</f>
        <v>0</v>
      </c>
      <c r="H36" s="199">
        <f>Макро!J39</f>
        <v>0</v>
      </c>
      <c r="I36" s="199">
        <f>Макро!K39</f>
        <v>0</v>
      </c>
      <c r="J36" s="199">
        <f>Макро!L39</f>
        <v>0</v>
      </c>
      <c r="K36" s="199">
        <f>Макро!M39</f>
        <v>0</v>
      </c>
      <c r="L36" s="199">
        <f>Макро!N39</f>
        <v>0</v>
      </c>
      <c r="M36" s="199">
        <f>Макро!O39</f>
        <v>0</v>
      </c>
      <c r="N36" s="199">
        <f>Макро!P39</f>
        <v>0</v>
      </c>
    </row>
    <row r="37" spans="1:14" customFormat="1">
      <c r="A37" s="205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</row>
    <row r="38" spans="1:14" customFormat="1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</row>
    <row r="39" spans="1:14" customForma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</row>
    <row r="40" spans="1:14" customFormat="1">
      <c r="A40" s="206" t="s">
        <v>354</v>
      </c>
      <c r="B40" s="131" t="e">
        <f ca="1">C19</f>
        <v>#DIV/0!</v>
      </c>
      <c r="C40" s="71"/>
      <c r="D40" s="146"/>
      <c r="E40" s="146"/>
      <c r="F40" s="71"/>
      <c r="G40" s="71"/>
      <c r="H40" s="71"/>
      <c r="I40" s="71"/>
      <c r="J40" s="71"/>
      <c r="K40" s="71"/>
      <c r="L40" s="71"/>
      <c r="M40" s="71"/>
      <c r="N40" s="71"/>
    </row>
    <row r="41" spans="1:14" customFormat="1">
      <c r="A41" s="206" t="s">
        <v>355</v>
      </c>
      <c r="B41" s="131">
        <v>9.8882352941176199E-2</v>
      </c>
      <c r="C41" s="71"/>
      <c r="D41" s="146"/>
      <c r="E41" s="146"/>
      <c r="F41" s="71"/>
      <c r="G41" s="71"/>
      <c r="H41" s="71"/>
      <c r="I41" s="71"/>
      <c r="J41" s="71"/>
      <c r="K41" s="71"/>
      <c r="L41" s="71"/>
      <c r="M41" s="71"/>
      <c r="N41" s="71"/>
    </row>
    <row r="42" spans="1:14" customFormat="1">
      <c r="A42" s="206" t="s">
        <v>356</v>
      </c>
      <c r="B42" s="131">
        <v>9.5920000000000005E-2</v>
      </c>
      <c r="C42" s="71"/>
      <c r="D42" s="146"/>
      <c r="E42" s="146"/>
      <c r="F42" s="71"/>
      <c r="G42" s="71"/>
      <c r="H42" s="71"/>
      <c r="I42" s="71"/>
      <c r="J42" s="71"/>
      <c r="K42" s="71"/>
      <c r="L42" s="71"/>
      <c r="M42" s="71"/>
      <c r="N42" s="71"/>
    </row>
    <row r="43" spans="1:14" customFormat="1">
      <c r="A43" s="206" t="s">
        <v>357</v>
      </c>
      <c r="B43" s="131">
        <v>0.73464590067587421</v>
      </c>
      <c r="C43" s="71"/>
      <c r="D43" s="146"/>
      <c r="E43" s="146"/>
      <c r="F43" s="71"/>
      <c r="G43" s="71"/>
      <c r="H43" s="71"/>
      <c r="I43" s="71"/>
      <c r="J43" s="71"/>
      <c r="K43" s="71"/>
      <c r="L43" s="71"/>
      <c r="M43" s="71"/>
      <c r="N43" s="71"/>
    </row>
    <row r="44" spans="1:14" customFormat="1">
      <c r="A44" s="206"/>
      <c r="B44" s="146"/>
      <c r="C44" s="71"/>
      <c r="D44" s="146"/>
      <c r="E44" s="146"/>
      <c r="F44" s="71"/>
      <c r="G44" s="71"/>
      <c r="H44" s="71"/>
      <c r="I44" s="71"/>
      <c r="J44" s="71"/>
      <c r="K44" s="71"/>
      <c r="L44" s="71"/>
      <c r="M44" s="71"/>
      <c r="N44" s="71"/>
    </row>
    <row r="45" spans="1:14" customFormat="1">
      <c r="A45" s="206" t="s">
        <v>358</v>
      </c>
      <c r="B45" s="131">
        <v>9.8882352941176199E-2</v>
      </c>
      <c r="C45" s="71"/>
      <c r="D45" s="146" t="s">
        <v>367</v>
      </c>
      <c r="E45" s="146"/>
      <c r="F45" s="71"/>
      <c r="G45" s="71"/>
      <c r="H45" s="71"/>
      <c r="I45" s="71"/>
      <c r="J45" s="71"/>
      <c r="K45" s="71"/>
      <c r="L45" s="71"/>
      <c r="M45" s="71"/>
      <c r="N45" s="71"/>
    </row>
    <row r="46" spans="1:14" customFormat="1">
      <c r="A46" s="206" t="s">
        <v>359</v>
      </c>
      <c r="B46" s="131">
        <v>3.9E-2</v>
      </c>
      <c r="C46" s="71"/>
      <c r="D46" s="146" t="s">
        <v>368</v>
      </c>
      <c r="E46" s="146"/>
      <c r="F46" s="71"/>
      <c r="G46" s="71"/>
      <c r="H46" s="71"/>
      <c r="I46" s="71"/>
      <c r="J46" s="71"/>
      <c r="K46" s="71"/>
      <c r="L46" s="71"/>
      <c r="M46" s="71"/>
      <c r="N46" s="71"/>
    </row>
    <row r="47" spans="1:14" customFormat="1">
      <c r="A47" s="146" t="s">
        <v>360</v>
      </c>
      <c r="B47" s="131">
        <v>4.4999999999999998E-2</v>
      </c>
      <c r="C47" s="71"/>
      <c r="D47" s="146" t="s">
        <v>369</v>
      </c>
      <c r="E47" s="146"/>
      <c r="F47" s="71"/>
      <c r="G47" s="71"/>
      <c r="H47" s="71"/>
      <c r="I47" s="71"/>
      <c r="J47" s="71"/>
      <c r="K47" s="71"/>
      <c r="L47" s="71"/>
      <c r="M47" s="71"/>
      <c r="N47" s="71"/>
    </row>
    <row r="48" spans="1:14" customFormat="1">
      <c r="A48" s="146" t="s">
        <v>361</v>
      </c>
      <c r="B48" s="212">
        <v>0.75</v>
      </c>
      <c r="C48" s="71"/>
      <c r="D48" s="146" t="s">
        <v>370</v>
      </c>
      <c r="E48" s="146"/>
      <c r="F48" s="71"/>
      <c r="G48" s="71"/>
      <c r="H48" s="71"/>
      <c r="I48" s="71"/>
      <c r="J48" s="71"/>
      <c r="K48" s="71"/>
      <c r="L48" s="71"/>
      <c r="M48" s="71"/>
      <c r="N48" s="71"/>
    </row>
    <row r="49" spans="1:5" customFormat="1">
      <c r="A49" s="146" t="s">
        <v>362</v>
      </c>
      <c r="B49" s="212">
        <v>0.75</v>
      </c>
      <c r="C49" s="71"/>
      <c r="D49" s="146" t="s">
        <v>370</v>
      </c>
      <c r="E49" s="146"/>
    </row>
    <row r="50" spans="1:5" customFormat="1">
      <c r="A50" s="146" t="s">
        <v>363</v>
      </c>
      <c r="B50" s="131">
        <v>0</v>
      </c>
      <c r="C50" s="71"/>
      <c r="D50" s="146" t="s">
        <v>369</v>
      </c>
      <c r="E50" s="146"/>
    </row>
    <row r="51" spans="1:5" customFormat="1">
      <c r="A51" s="146" t="s">
        <v>364</v>
      </c>
      <c r="B51" s="131">
        <v>5.0000000000000001E-3</v>
      </c>
      <c r="C51" s="71"/>
      <c r="D51" s="146" t="s">
        <v>369</v>
      </c>
      <c r="E51" s="146"/>
    </row>
    <row r="52" spans="1:5" customFormat="1">
      <c r="A52" s="146" t="s">
        <v>365</v>
      </c>
      <c r="B52" s="131">
        <v>9.5920000000000005E-2</v>
      </c>
      <c r="C52" s="71"/>
      <c r="D52" s="146" t="s">
        <v>370</v>
      </c>
      <c r="E52" s="146"/>
    </row>
    <row r="53" spans="1:5" customFormat="1">
      <c r="A53" s="146" t="s">
        <v>366</v>
      </c>
      <c r="B53" s="131">
        <v>0.11990000000000001</v>
      </c>
      <c r="C53" s="71"/>
      <c r="D53" s="146" t="s">
        <v>371</v>
      </c>
      <c r="E53" s="146"/>
    </row>
    <row r="54" spans="1:5" customFormat="1">
      <c r="A54" s="71"/>
      <c r="B54" s="71"/>
      <c r="C54" s="71"/>
      <c r="D54" s="71"/>
      <c r="E54" s="71"/>
    </row>
    <row r="55" spans="1:5" customFormat="1">
      <c r="A55" s="71"/>
      <c r="B55" s="71"/>
      <c r="C55" s="71"/>
      <c r="D55" s="71"/>
      <c r="E55" s="71"/>
    </row>
    <row r="56" spans="1:5" customFormat="1">
      <c r="A56" s="71"/>
      <c r="B56" s="71"/>
      <c r="C56" s="71"/>
      <c r="D56" s="71"/>
      <c r="E56" s="71"/>
    </row>
    <row r="57" spans="1:5" customFormat="1">
      <c r="A57" s="71"/>
      <c r="B57" s="71"/>
      <c r="C57" s="71"/>
      <c r="D57" s="71"/>
      <c r="E57" s="71"/>
    </row>
    <row r="58" spans="1:5" customFormat="1">
      <c r="A58" s="71"/>
      <c r="B58" s="71"/>
      <c r="C58" s="71"/>
      <c r="D58" s="71"/>
      <c r="E58" s="71"/>
    </row>
    <row r="59" spans="1:5" customFormat="1">
      <c r="A59" s="71"/>
      <c r="B59" s="71"/>
      <c r="C59" s="71"/>
      <c r="D59" s="71"/>
      <c r="E59" s="71"/>
    </row>
    <row r="60" spans="1:5" customFormat="1">
      <c r="A60" s="71"/>
      <c r="B60" s="71"/>
      <c r="C60" s="71"/>
      <c r="D60" s="71"/>
      <c r="E60" s="71"/>
    </row>
    <row r="61" spans="1:5" customFormat="1">
      <c r="A61" s="71"/>
      <c r="B61" s="71"/>
      <c r="C61" s="71"/>
      <c r="D61" s="71"/>
      <c r="E61" s="71"/>
    </row>
  </sheetData>
  <hyperlinks>
    <hyperlink ref="B2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56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8" tint="0.79998168889431442"/>
    <outlinePr summaryBelow="0" summaryRight="0"/>
    <pageSetUpPr fitToPage="1"/>
  </sheetPr>
  <dimension ref="A1:BY98"/>
  <sheetViews>
    <sheetView zoomScale="115" zoomScaleNormal="115" workbookViewId="0">
      <pane xSplit="4" ySplit="3" topLeftCell="E4" activePane="bottomRight" state="frozen"/>
      <selection pane="topRight"/>
      <selection pane="bottomLeft"/>
      <selection pane="bottomRight" activeCell="B15" sqref="B15"/>
    </sheetView>
  </sheetViews>
  <sheetFormatPr defaultColWidth="0" defaultRowHeight="15" outlineLevelCol="1"/>
  <cols>
    <col min="1" max="1" width="7" customWidth="1"/>
    <col min="2" max="2" width="29.85546875" style="2" customWidth="1"/>
    <col min="3" max="3" width="11" style="20" customWidth="1"/>
    <col min="4" max="4" width="11.5703125" customWidth="1"/>
    <col min="5" max="5" width="2.28515625" customWidth="1"/>
    <col min="6" max="16" width="8.85546875" customWidth="1"/>
    <col min="17" max="17" width="1.140625" customWidth="1"/>
    <col min="18" max="18" width="13.42578125" customWidth="1"/>
    <col min="19" max="19" width="1.7109375" customWidth="1"/>
    <col min="20" max="20" width="2.85546875" customWidth="1" collapsed="1"/>
    <col min="21" max="29" width="8.85546875" hidden="1" customWidth="1" outlineLevel="1"/>
    <col min="30" max="30" width="1.5703125" customWidth="1"/>
    <col min="31" max="31" width="35" customWidth="1"/>
    <col min="32" max="34" width="8.85546875" customWidth="1"/>
    <col min="35" max="77" width="0" hidden="1" customWidth="1"/>
    <col min="78" max="16384" width="8.85546875" hidden="1"/>
  </cols>
  <sheetData>
    <row r="1" spans="1:31" ht="25.5">
      <c r="A1" s="651" t="s">
        <v>666</v>
      </c>
      <c r="B1" s="164"/>
      <c r="C1" s="112"/>
      <c r="D1" s="71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71"/>
      <c r="R1" s="71"/>
      <c r="S1" s="71"/>
      <c r="T1" s="155" t="s">
        <v>181</v>
      </c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spans="1:31">
      <c r="A2" s="71" t="str">
        <f>Паспорт_ФМ_резидент!B7</f>
        <v>Разработка, производство, модернизация и реализация …</v>
      </c>
      <c r="B2" s="164"/>
      <c r="C2" s="112"/>
      <c r="D2" s="126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26">
        <v>11</v>
      </c>
      <c r="Q2" s="71"/>
      <c r="R2" s="71"/>
      <c r="S2" s="71"/>
      <c r="T2" s="156"/>
      <c r="U2" s="159">
        <f>P2+1</f>
        <v>12</v>
      </c>
      <c r="V2" s="126">
        <f>U2+1</f>
        <v>13</v>
      </c>
      <c r="W2" s="126">
        <f t="shared" ref="W2:AC3" si="0">V2+1</f>
        <v>14</v>
      </c>
      <c r="X2" s="126">
        <f t="shared" si="0"/>
        <v>15</v>
      </c>
      <c r="Y2" s="126">
        <f t="shared" si="0"/>
        <v>16</v>
      </c>
      <c r="Z2" s="126">
        <f t="shared" si="0"/>
        <v>17</v>
      </c>
      <c r="AA2" s="126">
        <f t="shared" si="0"/>
        <v>18</v>
      </c>
      <c r="AB2" s="126">
        <f t="shared" si="0"/>
        <v>19</v>
      </c>
      <c r="AC2" s="126">
        <f t="shared" si="0"/>
        <v>20</v>
      </c>
      <c r="AD2" s="71"/>
      <c r="AE2" s="71"/>
    </row>
    <row r="3" spans="1:31" s="18" customFormat="1" ht="28.5">
      <c r="A3" s="127" t="s">
        <v>2</v>
      </c>
      <c r="B3" s="230" t="s">
        <v>3</v>
      </c>
      <c r="C3" s="127" t="s">
        <v>12</v>
      </c>
      <c r="D3" s="194" t="str">
        <f>CONCATENATE("Итого ",F3,"-",P3)</f>
        <v>Итого 2025-2035</v>
      </c>
      <c r="E3" s="152"/>
      <c r="F3" s="766">
        <v>2025</v>
      </c>
      <c r="G3" s="127">
        <f t="shared" ref="G3:P3" si="1">F3+1</f>
        <v>2026</v>
      </c>
      <c r="H3" s="127">
        <f t="shared" si="1"/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127">
        <f t="shared" si="1"/>
        <v>2035</v>
      </c>
      <c r="Q3" s="152"/>
      <c r="R3" s="127" t="s">
        <v>106</v>
      </c>
      <c r="S3" s="152"/>
      <c r="T3" s="157"/>
      <c r="U3" s="160">
        <f>P3+1</f>
        <v>2036</v>
      </c>
      <c r="V3" s="160">
        <f>U3+1</f>
        <v>2037</v>
      </c>
      <c r="W3" s="160">
        <f t="shared" si="0"/>
        <v>2038</v>
      </c>
      <c r="X3" s="160">
        <f t="shared" si="0"/>
        <v>2039</v>
      </c>
      <c r="Y3" s="160">
        <f t="shared" si="0"/>
        <v>2040</v>
      </c>
      <c r="Z3" s="160">
        <f t="shared" si="0"/>
        <v>2041</v>
      </c>
      <c r="AA3" s="160">
        <f t="shared" si="0"/>
        <v>2042</v>
      </c>
      <c r="AB3" s="160">
        <f t="shared" si="0"/>
        <v>2043</v>
      </c>
      <c r="AC3" s="160">
        <f t="shared" si="0"/>
        <v>2044</v>
      </c>
      <c r="AD3" s="152"/>
      <c r="AE3" s="230" t="s">
        <v>202</v>
      </c>
    </row>
    <row r="4" spans="1:31">
      <c r="A4" s="146"/>
      <c r="B4" s="173"/>
      <c r="C4" s="236"/>
      <c r="D4" s="146"/>
      <c r="E4" s="71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71"/>
      <c r="R4" s="146"/>
      <c r="S4" s="71"/>
      <c r="T4" s="156"/>
      <c r="U4" s="71"/>
      <c r="V4" s="71"/>
      <c r="W4" s="71"/>
      <c r="X4" s="71"/>
      <c r="Y4" s="71"/>
      <c r="Z4" s="71"/>
      <c r="AA4" s="71"/>
      <c r="AB4" s="71"/>
      <c r="AC4" s="71"/>
      <c r="AD4" s="71"/>
      <c r="AE4" s="146"/>
    </row>
    <row r="5" spans="1:31" ht="15.75">
      <c r="A5" s="950" t="s">
        <v>706</v>
      </c>
      <c r="B5" s="951"/>
      <c r="C5" s="951"/>
      <c r="D5" s="952"/>
      <c r="E5" s="71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71"/>
      <c r="R5" s="154"/>
      <c r="S5" s="71"/>
      <c r="T5" s="156"/>
      <c r="U5" s="71"/>
      <c r="V5" s="71"/>
      <c r="W5" s="71"/>
      <c r="X5" s="71"/>
      <c r="Y5" s="71"/>
      <c r="Z5" s="71"/>
      <c r="AA5" s="71"/>
      <c r="AB5" s="71"/>
      <c r="AC5" s="71"/>
      <c r="AD5" s="71"/>
      <c r="AE5" s="154"/>
    </row>
    <row r="6" spans="1:31">
      <c r="A6" s="146"/>
      <c r="B6" s="178" t="s">
        <v>203</v>
      </c>
      <c r="C6" s="236"/>
      <c r="D6" s="146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146"/>
      <c r="S6" s="71"/>
      <c r="T6" s="156"/>
      <c r="U6" s="71"/>
      <c r="V6" s="71"/>
      <c r="W6" s="71"/>
      <c r="X6" s="71"/>
      <c r="Y6" s="71"/>
      <c r="Z6" s="71"/>
      <c r="AA6" s="71"/>
      <c r="AB6" s="71"/>
      <c r="AC6" s="71"/>
      <c r="AD6" s="71"/>
      <c r="AE6" s="146"/>
    </row>
    <row r="7" spans="1:31">
      <c r="A7" s="146"/>
      <c r="B7" s="691" t="s">
        <v>205</v>
      </c>
      <c r="C7" s="236"/>
      <c r="D7" s="146"/>
      <c r="E7" s="71"/>
      <c r="F7" s="689"/>
      <c r="G7" s="767"/>
      <c r="H7" s="767"/>
      <c r="I7" s="767"/>
      <c r="J7" s="767"/>
      <c r="K7" s="767"/>
      <c r="L7" s="767"/>
      <c r="M7" s="767"/>
      <c r="N7" s="767"/>
      <c r="O7" s="767"/>
      <c r="P7" s="767"/>
      <c r="Q7" s="71"/>
      <c r="R7" s="146"/>
      <c r="S7" s="71"/>
      <c r="T7" s="156"/>
      <c r="U7" s="71"/>
      <c r="V7" s="71"/>
      <c r="W7" s="71"/>
      <c r="X7" s="71"/>
      <c r="Y7" s="71"/>
      <c r="Z7" s="71"/>
      <c r="AA7" s="71"/>
      <c r="AB7" s="71"/>
      <c r="AC7" s="71"/>
      <c r="AD7" s="71"/>
      <c r="AE7" s="768" t="s">
        <v>1102</v>
      </c>
    </row>
    <row r="8" spans="1:31">
      <c r="A8" s="146"/>
      <c r="B8" s="691" t="s">
        <v>206</v>
      </c>
      <c r="C8" s="236"/>
      <c r="D8" s="146"/>
      <c r="E8" s="71"/>
      <c r="F8" s="689"/>
      <c r="G8" s="689"/>
      <c r="H8" s="767"/>
      <c r="I8" s="767"/>
      <c r="J8" s="767"/>
      <c r="K8" s="767"/>
      <c r="L8" s="767"/>
      <c r="M8" s="767"/>
      <c r="N8" s="767"/>
      <c r="O8" s="767"/>
      <c r="P8" s="767"/>
      <c r="Q8" s="71"/>
      <c r="R8" s="146"/>
      <c r="S8" s="71"/>
      <c r="T8" s="156"/>
      <c r="U8" s="71"/>
      <c r="V8" s="71"/>
      <c r="W8" s="71"/>
      <c r="X8" s="71"/>
      <c r="Y8" s="71"/>
      <c r="Z8" s="71"/>
      <c r="AA8" s="71"/>
      <c r="AB8" s="71"/>
      <c r="AC8" s="71"/>
      <c r="AD8" s="71"/>
      <c r="AE8" s="768" t="s">
        <v>1103</v>
      </c>
    </row>
    <row r="9" spans="1:31">
      <c r="A9" s="146"/>
      <c r="B9" s="691" t="s">
        <v>207</v>
      </c>
      <c r="C9" s="236"/>
      <c r="D9" s="146"/>
      <c r="E9" s="71"/>
      <c r="F9" s="689"/>
      <c r="G9" s="689"/>
      <c r="H9" s="767"/>
      <c r="I9" s="767"/>
      <c r="J9" s="767"/>
      <c r="K9" s="767"/>
      <c r="L9" s="767"/>
      <c r="M9" s="767"/>
      <c r="N9" s="767"/>
      <c r="O9" s="767"/>
      <c r="P9" s="767"/>
      <c r="Q9" s="71"/>
      <c r="R9" s="146"/>
      <c r="S9" s="71"/>
      <c r="T9" s="156"/>
      <c r="U9" s="71"/>
      <c r="V9" s="71"/>
      <c r="W9" s="71"/>
      <c r="X9" s="71"/>
      <c r="Y9" s="71"/>
      <c r="Z9" s="71"/>
      <c r="AA9" s="71"/>
      <c r="AB9" s="71"/>
      <c r="AC9" s="71"/>
      <c r="AD9" s="71"/>
      <c r="AE9" s="768" t="s">
        <v>1104</v>
      </c>
    </row>
    <row r="10" spans="1:31" ht="30">
      <c r="A10" s="146"/>
      <c r="B10" s="691" t="s">
        <v>208</v>
      </c>
      <c r="C10" s="236"/>
      <c r="D10" s="146"/>
      <c r="E10" s="71"/>
      <c r="F10" s="767"/>
      <c r="G10" s="689"/>
      <c r="H10" s="767"/>
      <c r="I10" s="767"/>
      <c r="J10" s="767"/>
      <c r="K10" s="767"/>
      <c r="L10" s="767"/>
      <c r="M10" s="767"/>
      <c r="N10" s="767"/>
      <c r="O10" s="767"/>
      <c r="P10" s="767"/>
      <c r="Q10" s="71"/>
      <c r="R10" s="146"/>
      <c r="S10" s="71"/>
      <c r="T10" s="156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68" t="s">
        <v>1105</v>
      </c>
    </row>
    <row r="11" spans="1:31">
      <c r="A11" s="146"/>
      <c r="B11" s="173" t="s">
        <v>1115</v>
      </c>
      <c r="C11" s="236"/>
      <c r="D11" s="146"/>
      <c r="E11" s="71"/>
      <c r="F11" s="690"/>
      <c r="G11" s="690"/>
      <c r="H11" s="690"/>
      <c r="I11" s="690"/>
      <c r="J11" s="690"/>
      <c r="K11" s="690"/>
      <c r="L11" s="690"/>
      <c r="M11" s="690"/>
      <c r="N11" s="690"/>
      <c r="O11" s="690"/>
      <c r="P11" s="690"/>
      <c r="Q11" s="71"/>
      <c r="R11" s="146"/>
      <c r="S11" s="71"/>
      <c r="T11" s="156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146"/>
    </row>
    <row r="12" spans="1:31">
      <c r="A12" s="146"/>
      <c r="B12" s="178" t="s">
        <v>204</v>
      </c>
      <c r="C12" s="236"/>
      <c r="D12" s="146"/>
      <c r="E12" s="71"/>
      <c r="F12" s="690"/>
      <c r="G12" s="690"/>
      <c r="H12" s="690"/>
      <c r="I12" s="690"/>
      <c r="J12" s="690"/>
      <c r="K12" s="690"/>
      <c r="L12" s="690"/>
      <c r="M12" s="690"/>
      <c r="N12" s="690"/>
      <c r="O12" s="690"/>
      <c r="P12" s="690"/>
      <c r="Q12" s="71"/>
      <c r="R12" s="146"/>
      <c r="S12" s="71"/>
      <c r="T12" s="156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146"/>
    </row>
    <row r="13" spans="1:31">
      <c r="A13" s="146"/>
      <c r="B13" s="173" t="s">
        <v>1116</v>
      </c>
      <c r="C13" s="236"/>
      <c r="D13" s="146"/>
      <c r="E13" s="71"/>
      <c r="F13" s="767"/>
      <c r="G13" s="823">
        <v>46204</v>
      </c>
      <c r="H13" s="689"/>
      <c r="I13" s="689"/>
      <c r="J13" s="689"/>
      <c r="K13" s="689"/>
      <c r="L13" s="689"/>
      <c r="M13" s="689"/>
      <c r="N13" s="689"/>
      <c r="O13" s="689"/>
      <c r="P13" s="689"/>
      <c r="Q13" s="71"/>
      <c r="R13" s="146"/>
      <c r="S13" s="71"/>
      <c r="T13" s="156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68" t="s">
        <v>1106</v>
      </c>
    </row>
    <row r="14" spans="1:31">
      <c r="A14" s="146"/>
      <c r="B14" s="173"/>
      <c r="C14" s="236"/>
      <c r="D14" s="146"/>
      <c r="E14" s="71"/>
      <c r="F14" s="690"/>
      <c r="G14" s="690"/>
      <c r="H14" s="690"/>
      <c r="I14" s="690"/>
      <c r="J14" s="690"/>
      <c r="K14" s="690"/>
      <c r="L14" s="690"/>
      <c r="M14" s="690"/>
      <c r="N14" s="690"/>
      <c r="O14" s="690"/>
      <c r="P14" s="690"/>
      <c r="Q14" s="71"/>
      <c r="R14" s="146"/>
      <c r="S14" s="71"/>
      <c r="T14" s="156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146"/>
    </row>
    <row r="15" spans="1:31">
      <c r="A15" s="146"/>
      <c r="B15" s="173"/>
      <c r="C15" s="236"/>
      <c r="D15" s="146"/>
      <c r="E15" s="71"/>
      <c r="F15" s="690"/>
      <c r="G15" s="690"/>
      <c r="H15" s="690"/>
      <c r="I15" s="690"/>
      <c r="J15" s="690"/>
      <c r="K15" s="690"/>
      <c r="L15" s="690"/>
      <c r="M15" s="690"/>
      <c r="N15" s="690"/>
      <c r="O15" s="690"/>
      <c r="P15" s="690"/>
      <c r="Q15" s="71"/>
      <c r="R15" s="146"/>
      <c r="S15" s="71"/>
      <c r="T15" s="156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146"/>
    </row>
    <row r="16" spans="1:31">
      <c r="A16" s="146"/>
      <c r="B16" s="173"/>
      <c r="C16" s="236"/>
      <c r="D16" s="146"/>
      <c r="E16" s="71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71"/>
      <c r="R16" s="146"/>
      <c r="S16" s="71"/>
      <c r="T16" s="156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46"/>
    </row>
    <row r="17" spans="1:31" ht="15.75" thickBot="1">
      <c r="A17" s="132"/>
      <c r="B17" s="174"/>
      <c r="C17" s="187"/>
      <c r="D17" s="132"/>
      <c r="E17" s="71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71"/>
      <c r="R17" s="132"/>
      <c r="S17" s="71"/>
      <c r="T17" s="156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132"/>
    </row>
    <row r="18" spans="1:31">
      <c r="A18" s="146"/>
      <c r="B18" s="173"/>
      <c r="C18" s="236"/>
      <c r="D18" s="146"/>
      <c r="E18" s="71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71"/>
      <c r="R18" s="146"/>
      <c r="S18" s="71"/>
      <c r="T18" s="156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146"/>
    </row>
    <row r="19" spans="1:31" s="13" customFormat="1" ht="15.75">
      <c r="A19" s="956" t="s">
        <v>707</v>
      </c>
      <c r="B19" s="957"/>
      <c r="C19" s="957"/>
      <c r="D19" s="959"/>
      <c r="E19" s="123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3"/>
      <c r="R19" s="129"/>
      <c r="S19" s="123"/>
      <c r="T19" s="156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129"/>
    </row>
    <row r="20" spans="1:31">
      <c r="A20" s="146"/>
      <c r="B20" s="173"/>
      <c r="C20" s="236"/>
      <c r="D20" s="146"/>
      <c r="E20" s="71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71"/>
      <c r="R20" s="146"/>
      <c r="S20" s="71"/>
      <c r="T20" s="156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146"/>
    </row>
    <row r="21" spans="1:31" ht="57.75">
      <c r="A21" s="71"/>
      <c r="B21" s="233" t="s">
        <v>216</v>
      </c>
      <c r="C21" s="237" t="s">
        <v>19</v>
      </c>
      <c r="D21" s="223">
        <f>SUM(D22:D35)</f>
        <v>0</v>
      </c>
      <c r="E21" s="71"/>
      <c r="F21" s="223">
        <f t="shared" ref="F21:P21" si="2">SUM(F22:F35)</f>
        <v>0</v>
      </c>
      <c r="G21" s="223">
        <f>SUM(G22:G35)</f>
        <v>0</v>
      </c>
      <c r="H21" s="223">
        <f t="shared" si="2"/>
        <v>0</v>
      </c>
      <c r="I21" s="223">
        <f t="shared" si="2"/>
        <v>0</v>
      </c>
      <c r="J21" s="223">
        <f t="shared" si="2"/>
        <v>0</v>
      </c>
      <c r="K21" s="223">
        <f t="shared" si="2"/>
        <v>0</v>
      </c>
      <c r="L21" s="223">
        <f t="shared" si="2"/>
        <v>0</v>
      </c>
      <c r="M21" s="223">
        <f t="shared" si="2"/>
        <v>0</v>
      </c>
      <c r="N21" s="223">
        <f t="shared" si="2"/>
        <v>0</v>
      </c>
      <c r="O21" s="223">
        <f t="shared" si="2"/>
        <v>0</v>
      </c>
      <c r="P21" s="223">
        <f t="shared" si="2"/>
        <v>0</v>
      </c>
      <c r="Q21" s="71"/>
      <c r="R21" s="146"/>
      <c r="S21" s="71"/>
      <c r="T21" s="156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146"/>
    </row>
    <row r="22" spans="1:31">
      <c r="A22" s="71"/>
      <c r="B22" s="164" t="s">
        <v>1059</v>
      </c>
      <c r="C22" s="237" t="s">
        <v>19</v>
      </c>
      <c r="D22" s="240">
        <f>SUM(F22:P22)</f>
        <v>0</v>
      </c>
      <c r="E22" s="71"/>
      <c r="F22" s="753"/>
      <c r="G22" s="753"/>
      <c r="H22" s="753"/>
      <c r="I22" s="753"/>
      <c r="J22" s="753"/>
      <c r="K22" s="753"/>
      <c r="L22" s="753"/>
      <c r="M22" s="753"/>
      <c r="N22" s="753"/>
      <c r="O22" s="753"/>
      <c r="P22" s="753"/>
      <c r="Q22" s="71"/>
      <c r="R22" s="146"/>
      <c r="S22" s="71"/>
      <c r="T22" s="156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68" t="s">
        <v>1060</v>
      </c>
    </row>
    <row r="23" spans="1:31">
      <c r="A23" s="71"/>
      <c r="B23" s="164" t="s">
        <v>1061</v>
      </c>
      <c r="C23" s="237" t="s">
        <v>19</v>
      </c>
      <c r="D23" s="240">
        <f t="shared" ref="D23:D33" si="3">SUM(F23:P23)</f>
        <v>0</v>
      </c>
      <c r="E23" s="71"/>
      <c r="F23" s="753"/>
      <c r="G23" s="753"/>
      <c r="H23" s="753"/>
      <c r="I23" s="753"/>
      <c r="J23" s="753"/>
      <c r="K23" s="753"/>
      <c r="L23" s="753"/>
      <c r="M23" s="753"/>
      <c r="N23" s="753"/>
      <c r="O23" s="753"/>
      <c r="P23" s="753"/>
      <c r="Q23" s="71"/>
      <c r="R23" s="146"/>
      <c r="S23" s="71"/>
      <c r="T23" s="156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68" t="s">
        <v>1062</v>
      </c>
    </row>
    <row r="24" spans="1:31">
      <c r="A24" s="71"/>
      <c r="B24" s="164" t="s">
        <v>1061</v>
      </c>
      <c r="C24" s="237" t="s">
        <v>19</v>
      </c>
      <c r="D24" s="240">
        <f t="shared" si="3"/>
        <v>0</v>
      </c>
      <c r="E24" s="71"/>
      <c r="F24" s="753"/>
      <c r="G24" s="753"/>
      <c r="H24" s="753"/>
      <c r="I24" s="753"/>
      <c r="J24" s="753"/>
      <c r="K24" s="753"/>
      <c r="L24" s="753"/>
      <c r="M24" s="753"/>
      <c r="N24" s="753"/>
      <c r="O24" s="753"/>
      <c r="P24" s="753"/>
      <c r="Q24" s="71"/>
      <c r="R24" s="146"/>
      <c r="S24" s="71"/>
      <c r="T24" s="156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68" t="s">
        <v>1062</v>
      </c>
    </row>
    <row r="25" spans="1:31">
      <c r="A25" s="71"/>
      <c r="B25" s="164" t="s">
        <v>1061</v>
      </c>
      <c r="C25" s="237" t="s">
        <v>19</v>
      </c>
      <c r="D25" s="240">
        <f t="shared" si="3"/>
        <v>0</v>
      </c>
      <c r="E25" s="71"/>
      <c r="F25" s="753"/>
      <c r="G25" s="753"/>
      <c r="H25" s="753"/>
      <c r="I25" s="753"/>
      <c r="J25" s="753"/>
      <c r="K25" s="753"/>
      <c r="L25" s="753"/>
      <c r="M25" s="753"/>
      <c r="N25" s="753"/>
      <c r="O25" s="753"/>
      <c r="P25" s="753"/>
      <c r="Q25" s="71"/>
      <c r="R25" s="146"/>
      <c r="S25" s="71"/>
      <c r="T25" s="156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68" t="s">
        <v>1062</v>
      </c>
    </row>
    <row r="26" spans="1:31">
      <c r="A26" s="71"/>
      <c r="B26" s="164" t="s">
        <v>1061</v>
      </c>
      <c r="C26" s="237" t="s">
        <v>19</v>
      </c>
      <c r="D26" s="240">
        <f t="shared" si="3"/>
        <v>0</v>
      </c>
      <c r="E26" s="71"/>
      <c r="F26" s="753"/>
      <c r="G26" s="753"/>
      <c r="H26" s="753"/>
      <c r="I26" s="753"/>
      <c r="J26" s="753"/>
      <c r="K26" s="753"/>
      <c r="L26" s="753"/>
      <c r="M26" s="753"/>
      <c r="N26" s="753"/>
      <c r="O26" s="753"/>
      <c r="P26" s="753"/>
      <c r="Q26" s="71"/>
      <c r="R26" s="146"/>
      <c r="S26" s="71"/>
      <c r="T26" s="156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68" t="s">
        <v>1062</v>
      </c>
    </row>
    <row r="27" spans="1:31">
      <c r="A27" s="71"/>
      <c r="B27" s="164" t="s">
        <v>1061</v>
      </c>
      <c r="C27" s="237" t="s">
        <v>19</v>
      </c>
      <c r="D27" s="240">
        <f t="shared" si="3"/>
        <v>0</v>
      </c>
      <c r="E27" s="71"/>
      <c r="F27" s="753"/>
      <c r="G27" s="753"/>
      <c r="H27" s="753"/>
      <c r="I27" s="753"/>
      <c r="J27" s="753"/>
      <c r="K27" s="753"/>
      <c r="L27" s="753"/>
      <c r="M27" s="753"/>
      <c r="N27" s="753"/>
      <c r="O27" s="753"/>
      <c r="P27" s="753"/>
      <c r="Q27" s="71"/>
      <c r="R27" s="146"/>
      <c r="S27" s="71"/>
      <c r="T27" s="156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68" t="s">
        <v>1062</v>
      </c>
    </row>
    <row r="28" spans="1:31">
      <c r="A28" s="71"/>
      <c r="B28" s="164" t="s">
        <v>1061</v>
      </c>
      <c r="C28" s="237" t="s">
        <v>19</v>
      </c>
      <c r="D28" s="240">
        <f t="shared" si="3"/>
        <v>0</v>
      </c>
      <c r="E28" s="71"/>
      <c r="F28" s="753"/>
      <c r="G28" s="753"/>
      <c r="H28" s="753"/>
      <c r="I28" s="753"/>
      <c r="J28" s="753"/>
      <c r="K28" s="753"/>
      <c r="L28" s="753"/>
      <c r="M28" s="753"/>
      <c r="N28" s="753"/>
      <c r="O28" s="753"/>
      <c r="P28" s="753"/>
      <c r="Q28" s="71"/>
      <c r="R28" s="146"/>
      <c r="S28" s="71"/>
      <c r="T28" s="156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68" t="s">
        <v>1062</v>
      </c>
    </row>
    <row r="29" spans="1:31">
      <c r="A29" s="71"/>
      <c r="B29" s="164" t="s">
        <v>1061</v>
      </c>
      <c r="C29" s="237" t="s">
        <v>19</v>
      </c>
      <c r="D29" s="240">
        <f t="shared" si="3"/>
        <v>0</v>
      </c>
      <c r="E29" s="71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1"/>
      <c r="R29" s="146"/>
      <c r="S29" s="71"/>
      <c r="T29" s="156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68" t="s">
        <v>1062</v>
      </c>
    </row>
    <row r="30" spans="1:31">
      <c r="A30" s="71"/>
      <c r="B30" s="164" t="s">
        <v>1061</v>
      </c>
      <c r="C30" s="237" t="s">
        <v>19</v>
      </c>
      <c r="D30" s="240">
        <f t="shared" si="3"/>
        <v>0</v>
      </c>
      <c r="E30" s="71"/>
      <c r="F30" s="753"/>
      <c r="G30" s="753"/>
      <c r="H30" s="753"/>
      <c r="I30" s="753"/>
      <c r="J30" s="753"/>
      <c r="K30" s="753"/>
      <c r="L30" s="753"/>
      <c r="M30" s="753"/>
      <c r="N30" s="753"/>
      <c r="O30" s="753"/>
      <c r="P30" s="753"/>
      <c r="Q30" s="71"/>
      <c r="R30" s="146"/>
      <c r="S30" s="71"/>
      <c r="T30" s="156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68" t="s">
        <v>1062</v>
      </c>
    </row>
    <row r="31" spans="1:31">
      <c r="A31" s="71"/>
      <c r="B31" s="164" t="s">
        <v>1061</v>
      </c>
      <c r="C31" s="237" t="s">
        <v>19</v>
      </c>
      <c r="D31" s="240">
        <f t="shared" si="3"/>
        <v>0</v>
      </c>
      <c r="E31" s="71"/>
      <c r="F31" s="753"/>
      <c r="G31" s="753"/>
      <c r="H31" s="753"/>
      <c r="I31" s="753"/>
      <c r="J31" s="753"/>
      <c r="K31" s="753"/>
      <c r="L31" s="753"/>
      <c r="M31" s="753"/>
      <c r="N31" s="753"/>
      <c r="O31" s="753"/>
      <c r="P31" s="753"/>
      <c r="Q31" s="71"/>
      <c r="R31" s="146"/>
      <c r="S31" s="71"/>
      <c r="T31" s="156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68" t="s">
        <v>1062</v>
      </c>
    </row>
    <row r="32" spans="1:31">
      <c r="A32" s="71"/>
      <c r="B32" s="164" t="s">
        <v>1061</v>
      </c>
      <c r="C32" s="237" t="s">
        <v>19</v>
      </c>
      <c r="D32" s="240">
        <f t="shared" si="3"/>
        <v>0</v>
      </c>
      <c r="E32" s="71"/>
      <c r="F32" s="753"/>
      <c r="G32" s="753"/>
      <c r="H32" s="753"/>
      <c r="I32" s="753"/>
      <c r="J32" s="753"/>
      <c r="K32" s="753"/>
      <c r="L32" s="753"/>
      <c r="M32" s="753"/>
      <c r="N32" s="753"/>
      <c r="O32" s="753"/>
      <c r="P32" s="753"/>
      <c r="Q32" s="71"/>
      <c r="R32" s="146"/>
      <c r="S32" s="71"/>
      <c r="T32" s="156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68" t="s">
        <v>1062</v>
      </c>
    </row>
    <row r="33" spans="1:31">
      <c r="A33" s="71"/>
      <c r="B33" s="164" t="s">
        <v>1061</v>
      </c>
      <c r="C33" s="237" t="s">
        <v>19</v>
      </c>
      <c r="D33" s="240">
        <f t="shared" si="3"/>
        <v>0</v>
      </c>
      <c r="E33" s="71"/>
      <c r="F33" s="753"/>
      <c r="G33" s="753"/>
      <c r="H33" s="753"/>
      <c r="I33" s="753"/>
      <c r="J33" s="753"/>
      <c r="K33" s="753"/>
      <c r="L33" s="753"/>
      <c r="M33" s="753"/>
      <c r="N33" s="753"/>
      <c r="O33" s="753"/>
      <c r="P33" s="753"/>
      <c r="Q33" s="71"/>
      <c r="R33" s="146"/>
      <c r="S33" s="71"/>
      <c r="T33" s="156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68" t="s">
        <v>1062</v>
      </c>
    </row>
    <row r="34" spans="1:31">
      <c r="A34" s="71"/>
      <c r="B34" s="164"/>
      <c r="C34" s="237"/>
      <c r="D34" s="240"/>
      <c r="E34" s="71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71"/>
      <c r="R34" s="146"/>
      <c r="S34" s="71"/>
      <c r="T34" s="156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146"/>
    </row>
    <row r="35" spans="1:31" ht="15.75" thickBot="1">
      <c r="A35" s="132"/>
      <c r="B35" s="174"/>
      <c r="C35" s="187"/>
      <c r="D35" s="132"/>
      <c r="E35" s="71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71"/>
      <c r="R35" s="132"/>
      <c r="S35" s="71"/>
      <c r="T35" s="156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132"/>
    </row>
    <row r="36" spans="1:31">
      <c r="A36" s="146"/>
      <c r="B36" s="173"/>
      <c r="C36" s="236"/>
      <c r="D36" s="146"/>
      <c r="E36" s="71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71"/>
      <c r="R36" s="146"/>
      <c r="S36" s="71"/>
      <c r="T36" s="156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146"/>
    </row>
    <row r="37" spans="1:31" s="13" customFormat="1" ht="15.75">
      <c r="A37" s="956" t="s">
        <v>708</v>
      </c>
      <c r="B37" s="957"/>
      <c r="C37" s="957"/>
      <c r="D37" s="959"/>
      <c r="E37" s="123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3"/>
      <c r="R37" s="129"/>
      <c r="S37" s="123"/>
      <c r="T37" s="156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129"/>
    </row>
    <row r="38" spans="1:31" ht="16.5" thickBot="1">
      <c r="A38" s="146"/>
      <c r="B38" s="770" t="s">
        <v>705</v>
      </c>
      <c r="C38" s="581"/>
      <c r="D38" s="133"/>
      <c r="E38" s="71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71"/>
      <c r="R38" s="146"/>
      <c r="S38" s="71"/>
      <c r="T38" s="156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146"/>
    </row>
    <row r="39" spans="1:31" ht="30" thickBot="1">
      <c r="A39" s="769"/>
      <c r="B39" s="772" t="s">
        <v>1082</v>
      </c>
      <c r="C39" s="773" t="s">
        <v>1073</v>
      </c>
      <c r="D39" s="774">
        <f>SUM(F39:P39)</f>
        <v>0</v>
      </c>
      <c r="E39" s="775"/>
      <c r="F39" s="810"/>
      <c r="G39" s="810"/>
      <c r="H39" s="810"/>
      <c r="I39" s="810"/>
      <c r="J39" s="810"/>
      <c r="K39" s="810"/>
      <c r="L39" s="810"/>
      <c r="M39" s="810"/>
      <c r="N39" s="810"/>
      <c r="O39" s="810"/>
      <c r="P39" s="810"/>
      <c r="Q39" s="71"/>
      <c r="R39" s="146"/>
      <c r="S39" s="71"/>
      <c r="T39" s="156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68" t="s">
        <v>1089</v>
      </c>
    </row>
    <row r="40" spans="1:31">
      <c r="A40" s="232"/>
      <c r="B40" s="776" t="s">
        <v>857</v>
      </c>
      <c r="C40" s="186" t="s">
        <v>1073</v>
      </c>
      <c r="D40" s="777">
        <f>SUM(F40:P40)</f>
        <v>21.23</v>
      </c>
      <c r="E40" s="778"/>
      <c r="F40" s="799">
        <v>1.93</v>
      </c>
      <c r="G40" s="799">
        <v>1.93</v>
      </c>
      <c r="H40" s="799">
        <v>1.93</v>
      </c>
      <c r="I40" s="799">
        <v>1.93</v>
      </c>
      <c r="J40" s="799">
        <v>1.93</v>
      </c>
      <c r="K40" s="799">
        <v>1.93</v>
      </c>
      <c r="L40" s="799">
        <v>1.93</v>
      </c>
      <c r="M40" s="799">
        <v>1.93</v>
      </c>
      <c r="N40" s="799">
        <v>1.93</v>
      </c>
      <c r="O40" s="799">
        <v>1.93</v>
      </c>
      <c r="P40" s="799">
        <v>1.93</v>
      </c>
      <c r="Q40" s="71"/>
      <c r="R40" s="146"/>
      <c r="S40" s="71"/>
      <c r="T40" s="156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146"/>
    </row>
    <row r="41" spans="1:31">
      <c r="A41" s="232"/>
      <c r="B41" s="776" t="s">
        <v>856</v>
      </c>
      <c r="C41" s="186" t="s">
        <v>1073</v>
      </c>
      <c r="D41" s="777">
        <f>SUM(F41:P41)</f>
        <v>-21.23</v>
      </c>
      <c r="E41" s="778"/>
      <c r="F41" s="794">
        <f>F39-F40</f>
        <v>-1.93</v>
      </c>
      <c r="G41" s="794">
        <f t="shared" ref="G41:P41" si="4">G39-G40</f>
        <v>-1.93</v>
      </c>
      <c r="H41" s="794">
        <f t="shared" si="4"/>
        <v>-1.93</v>
      </c>
      <c r="I41" s="794">
        <f t="shared" si="4"/>
        <v>-1.93</v>
      </c>
      <c r="J41" s="794">
        <f t="shared" si="4"/>
        <v>-1.93</v>
      </c>
      <c r="K41" s="794">
        <f t="shared" si="4"/>
        <v>-1.93</v>
      </c>
      <c r="L41" s="794">
        <f t="shared" si="4"/>
        <v>-1.93</v>
      </c>
      <c r="M41" s="794">
        <f t="shared" si="4"/>
        <v>-1.93</v>
      </c>
      <c r="N41" s="794">
        <f t="shared" si="4"/>
        <v>-1.93</v>
      </c>
      <c r="O41" s="794">
        <f t="shared" si="4"/>
        <v>-1.93</v>
      </c>
      <c r="P41" s="794">
        <f t="shared" si="4"/>
        <v>-1.93</v>
      </c>
      <c r="Q41" s="71"/>
      <c r="R41" s="146"/>
      <c r="S41" s="71"/>
      <c r="T41" s="156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146"/>
    </row>
    <row r="42" spans="1:31" ht="29.25">
      <c r="A42" s="769"/>
      <c r="B42" s="779" t="s">
        <v>1063</v>
      </c>
      <c r="C42" s="186" t="s">
        <v>1074</v>
      </c>
      <c r="D42" s="777">
        <f>MAX(F42:P42)</f>
        <v>0</v>
      </c>
      <c r="E42" s="778"/>
      <c r="F42" s="809"/>
      <c r="G42" s="809"/>
      <c r="H42" s="809"/>
      <c r="I42" s="809"/>
      <c r="J42" s="809"/>
      <c r="K42" s="809"/>
      <c r="L42" s="809"/>
      <c r="M42" s="809"/>
      <c r="N42" s="809"/>
      <c r="O42" s="809"/>
      <c r="P42" s="809"/>
      <c r="Q42" s="71"/>
      <c r="R42" s="146"/>
      <c r="S42" s="71"/>
      <c r="T42" s="156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68" t="s">
        <v>1092</v>
      </c>
    </row>
    <row r="43" spans="1:31">
      <c r="A43" s="232"/>
      <c r="B43" s="776" t="s">
        <v>857</v>
      </c>
      <c r="C43" s="186" t="s">
        <v>1074</v>
      </c>
      <c r="D43" s="777">
        <f>MAX(F43:P43)</f>
        <v>0.1</v>
      </c>
      <c r="E43" s="778"/>
      <c r="F43" s="796">
        <v>0.1</v>
      </c>
      <c r="G43" s="796">
        <v>0.1</v>
      </c>
      <c r="H43" s="796">
        <v>0.1</v>
      </c>
      <c r="I43" s="796">
        <v>0.1</v>
      </c>
      <c r="J43" s="796">
        <v>0.1</v>
      </c>
      <c r="K43" s="796">
        <v>0.1</v>
      </c>
      <c r="L43" s="796">
        <v>0.1</v>
      </c>
      <c r="M43" s="796">
        <v>0.1</v>
      </c>
      <c r="N43" s="796">
        <v>0.1</v>
      </c>
      <c r="O43" s="796">
        <v>0.1</v>
      </c>
      <c r="P43" s="796">
        <v>0.1</v>
      </c>
      <c r="Q43" s="71"/>
      <c r="R43" s="146"/>
      <c r="S43" s="71"/>
      <c r="T43" s="156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146"/>
    </row>
    <row r="44" spans="1:31" ht="15.75" thickBot="1">
      <c r="A44" s="232"/>
      <c r="B44" s="780" t="s">
        <v>856</v>
      </c>
      <c r="C44" s="187" t="s">
        <v>1074</v>
      </c>
      <c r="D44" s="790">
        <f>D43-D42</f>
        <v>0.1</v>
      </c>
      <c r="E44" s="788"/>
      <c r="F44" s="797">
        <f t="shared" ref="F44:P44" si="5">F43-F42</f>
        <v>0.1</v>
      </c>
      <c r="G44" s="797">
        <f t="shared" si="5"/>
        <v>0.1</v>
      </c>
      <c r="H44" s="797">
        <f t="shared" si="5"/>
        <v>0.1</v>
      </c>
      <c r="I44" s="797">
        <f t="shared" si="5"/>
        <v>0.1</v>
      </c>
      <c r="J44" s="797">
        <f t="shared" si="5"/>
        <v>0.1</v>
      </c>
      <c r="K44" s="797">
        <f t="shared" si="5"/>
        <v>0.1</v>
      </c>
      <c r="L44" s="797">
        <f t="shared" si="5"/>
        <v>0.1</v>
      </c>
      <c r="M44" s="797">
        <f t="shared" si="5"/>
        <v>0.1</v>
      </c>
      <c r="N44" s="797">
        <f t="shared" si="5"/>
        <v>0.1</v>
      </c>
      <c r="O44" s="797">
        <f t="shared" si="5"/>
        <v>0.1</v>
      </c>
      <c r="P44" s="798">
        <f t="shared" si="5"/>
        <v>0.1</v>
      </c>
      <c r="Q44" s="71"/>
      <c r="R44" s="146"/>
      <c r="S44" s="71"/>
      <c r="T44" s="156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146"/>
    </row>
    <row r="45" spans="1:31" ht="29.25">
      <c r="A45" s="769"/>
      <c r="B45" s="783" t="s">
        <v>1064</v>
      </c>
      <c r="C45" s="773" t="s">
        <v>1076</v>
      </c>
      <c r="D45" s="774">
        <f>MAX(F45:P45)</f>
        <v>0</v>
      </c>
      <c r="E45" s="775"/>
      <c r="F45" s="810"/>
      <c r="G45" s="810"/>
      <c r="H45" s="810"/>
      <c r="I45" s="810"/>
      <c r="J45" s="810"/>
      <c r="K45" s="810"/>
      <c r="L45" s="810"/>
      <c r="M45" s="810"/>
      <c r="N45" s="810"/>
      <c r="O45" s="810"/>
      <c r="P45" s="810"/>
      <c r="Q45" s="71"/>
      <c r="R45" s="146"/>
      <c r="S45" s="71"/>
      <c r="T45" s="156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68" t="s">
        <v>1091</v>
      </c>
    </row>
    <row r="46" spans="1:31">
      <c r="A46" s="232"/>
      <c r="B46" s="776" t="s">
        <v>857</v>
      </c>
      <c r="C46" s="789" t="s">
        <v>1076</v>
      </c>
      <c r="D46" s="777">
        <f>MAX(F46:P46)</f>
        <v>0</v>
      </c>
      <c r="E46" s="778"/>
      <c r="F46" s="800">
        <v>0</v>
      </c>
      <c r="G46" s="800">
        <v>0</v>
      </c>
      <c r="H46" s="800">
        <v>0</v>
      </c>
      <c r="I46" s="800">
        <v>0</v>
      </c>
      <c r="J46" s="800">
        <v>0</v>
      </c>
      <c r="K46" s="800">
        <v>0</v>
      </c>
      <c r="L46" s="800">
        <v>0</v>
      </c>
      <c r="M46" s="800">
        <v>0</v>
      </c>
      <c r="N46" s="800">
        <v>0</v>
      </c>
      <c r="O46" s="800">
        <v>0</v>
      </c>
      <c r="P46" s="801">
        <v>0</v>
      </c>
      <c r="Q46" s="71"/>
      <c r="R46" s="146"/>
      <c r="S46" s="71"/>
      <c r="T46" s="156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146"/>
    </row>
    <row r="47" spans="1:31">
      <c r="A47" s="232"/>
      <c r="B47" s="776" t="s">
        <v>856</v>
      </c>
      <c r="C47" s="186" t="s">
        <v>1076</v>
      </c>
      <c r="D47" s="777">
        <f>D46-D45</f>
        <v>0</v>
      </c>
      <c r="E47" s="778"/>
      <c r="F47" s="794">
        <f>F46-F45</f>
        <v>0</v>
      </c>
      <c r="G47" s="794">
        <f t="shared" ref="G47:P47" si="6">G46-G45</f>
        <v>0</v>
      </c>
      <c r="H47" s="794">
        <f t="shared" si="6"/>
        <v>0</v>
      </c>
      <c r="I47" s="794">
        <f t="shared" si="6"/>
        <v>0</v>
      </c>
      <c r="J47" s="794">
        <f t="shared" si="6"/>
        <v>0</v>
      </c>
      <c r="K47" s="794">
        <f t="shared" si="6"/>
        <v>0</v>
      </c>
      <c r="L47" s="794">
        <f t="shared" si="6"/>
        <v>0</v>
      </c>
      <c r="M47" s="794">
        <f t="shared" si="6"/>
        <v>0</v>
      </c>
      <c r="N47" s="794">
        <f t="shared" si="6"/>
        <v>0</v>
      </c>
      <c r="O47" s="794">
        <f t="shared" si="6"/>
        <v>0</v>
      </c>
      <c r="P47" s="795">
        <f t="shared" si="6"/>
        <v>0</v>
      </c>
      <c r="Q47" s="71"/>
      <c r="R47" s="146"/>
      <c r="S47" s="71"/>
      <c r="T47" s="156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68"/>
    </row>
    <row r="48" spans="1:31" ht="29.25">
      <c r="A48" s="769"/>
      <c r="B48" s="784" t="s">
        <v>1075</v>
      </c>
      <c r="C48" s="186" t="s">
        <v>861</v>
      </c>
      <c r="D48" s="777">
        <f>SUM(F48:P48)</f>
        <v>0</v>
      </c>
      <c r="E48" s="778"/>
      <c r="F48" s="753">
        <v>0</v>
      </c>
      <c r="G48" s="753">
        <v>0</v>
      </c>
      <c r="H48" s="753">
        <v>0</v>
      </c>
      <c r="I48" s="753">
        <v>0</v>
      </c>
      <c r="J48" s="753">
        <v>0</v>
      </c>
      <c r="K48" s="753">
        <v>0</v>
      </c>
      <c r="L48" s="753">
        <v>0</v>
      </c>
      <c r="M48" s="753">
        <v>0</v>
      </c>
      <c r="N48" s="753">
        <v>0</v>
      </c>
      <c r="O48" s="753">
        <v>0</v>
      </c>
      <c r="P48" s="753">
        <v>0</v>
      </c>
      <c r="Q48" s="71"/>
      <c r="R48" s="146"/>
      <c r="S48" s="71"/>
      <c r="T48" s="156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68" t="s">
        <v>1090</v>
      </c>
    </row>
    <row r="49" spans="1:31">
      <c r="A49" s="232"/>
      <c r="B49" s="776" t="s">
        <v>857</v>
      </c>
      <c r="C49" s="186" t="s">
        <v>861</v>
      </c>
      <c r="D49" s="777">
        <f>SUM(F49:P49)</f>
        <v>1100</v>
      </c>
      <c r="E49" s="778"/>
      <c r="F49" s="794">
        <v>100</v>
      </c>
      <c r="G49" s="794">
        <v>100</v>
      </c>
      <c r="H49" s="794">
        <v>100</v>
      </c>
      <c r="I49" s="794">
        <v>100</v>
      </c>
      <c r="J49" s="794">
        <v>100</v>
      </c>
      <c r="K49" s="794">
        <v>100</v>
      </c>
      <c r="L49" s="794">
        <v>100</v>
      </c>
      <c r="M49" s="794">
        <v>100</v>
      </c>
      <c r="N49" s="794">
        <v>100</v>
      </c>
      <c r="O49" s="794">
        <v>100</v>
      </c>
      <c r="P49" s="794">
        <v>100</v>
      </c>
      <c r="Q49" s="71"/>
      <c r="R49" s="146"/>
      <c r="S49" s="71"/>
      <c r="T49" s="156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146"/>
    </row>
    <row r="50" spans="1:31" ht="15.75" thickBot="1">
      <c r="A50" s="232"/>
      <c r="B50" s="780" t="s">
        <v>856</v>
      </c>
      <c r="C50" s="187" t="s">
        <v>861</v>
      </c>
      <c r="D50" s="781">
        <f>SUM(F50:P50)</f>
        <v>1100</v>
      </c>
      <c r="E50" s="376"/>
      <c r="F50" s="802">
        <f t="shared" ref="F50:P50" si="7">F49-F48</f>
        <v>100</v>
      </c>
      <c r="G50" s="802">
        <f t="shared" si="7"/>
        <v>100</v>
      </c>
      <c r="H50" s="802">
        <f t="shared" si="7"/>
        <v>100</v>
      </c>
      <c r="I50" s="802">
        <f t="shared" si="7"/>
        <v>100</v>
      </c>
      <c r="J50" s="802">
        <f t="shared" si="7"/>
        <v>100</v>
      </c>
      <c r="K50" s="802">
        <f t="shared" si="7"/>
        <v>100</v>
      </c>
      <c r="L50" s="802">
        <f t="shared" si="7"/>
        <v>100</v>
      </c>
      <c r="M50" s="802">
        <f t="shared" si="7"/>
        <v>100</v>
      </c>
      <c r="N50" s="802">
        <f t="shared" si="7"/>
        <v>100</v>
      </c>
      <c r="O50" s="802">
        <f t="shared" si="7"/>
        <v>100</v>
      </c>
      <c r="P50" s="803">
        <f t="shared" si="7"/>
        <v>100</v>
      </c>
      <c r="Q50" s="71"/>
      <c r="R50" s="146"/>
      <c r="S50" s="71"/>
      <c r="T50" s="156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146"/>
    </row>
    <row r="51" spans="1:31" ht="29.25">
      <c r="A51" s="232"/>
      <c r="B51" s="783" t="s">
        <v>1065</v>
      </c>
      <c r="C51" s="773" t="s">
        <v>1076</v>
      </c>
      <c r="D51" s="774">
        <f>MAX(F51:P51)</f>
        <v>0</v>
      </c>
      <c r="E51" s="775"/>
      <c r="F51" s="811">
        <v>0</v>
      </c>
      <c r="G51" s="811">
        <v>0</v>
      </c>
      <c r="H51" s="811">
        <v>0</v>
      </c>
      <c r="I51" s="811">
        <v>0</v>
      </c>
      <c r="J51" s="811">
        <v>0</v>
      </c>
      <c r="K51" s="811">
        <v>0</v>
      </c>
      <c r="L51" s="811">
        <v>0</v>
      </c>
      <c r="M51" s="811">
        <v>0</v>
      </c>
      <c r="N51" s="811">
        <v>0</v>
      </c>
      <c r="O51" s="811">
        <v>0</v>
      </c>
      <c r="P51" s="811">
        <v>0</v>
      </c>
      <c r="Q51" s="71"/>
      <c r="R51" s="146"/>
      <c r="S51" s="71"/>
      <c r="T51" s="156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68" t="s">
        <v>1091</v>
      </c>
    </row>
    <row r="52" spans="1:31">
      <c r="A52" s="232"/>
      <c r="B52" s="776" t="s">
        <v>857</v>
      </c>
      <c r="C52" s="789" t="s">
        <v>1076</v>
      </c>
      <c r="D52" s="777">
        <f>MAX(F52:P52)</f>
        <v>2</v>
      </c>
      <c r="E52" s="778"/>
      <c r="F52" s="804">
        <v>2</v>
      </c>
      <c r="G52" s="804">
        <v>2</v>
      </c>
      <c r="H52" s="804">
        <v>2</v>
      </c>
      <c r="I52" s="804">
        <v>2</v>
      </c>
      <c r="J52" s="804">
        <v>2</v>
      </c>
      <c r="K52" s="804">
        <v>2</v>
      </c>
      <c r="L52" s="804">
        <v>2</v>
      </c>
      <c r="M52" s="804">
        <v>2</v>
      </c>
      <c r="N52" s="804">
        <v>2</v>
      </c>
      <c r="O52" s="804">
        <v>2</v>
      </c>
      <c r="P52" s="804">
        <v>2</v>
      </c>
      <c r="Q52" s="71"/>
      <c r="R52" s="146"/>
      <c r="S52" s="71"/>
      <c r="T52" s="156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146"/>
    </row>
    <row r="53" spans="1:31">
      <c r="A53" s="232"/>
      <c r="B53" s="776" t="s">
        <v>856</v>
      </c>
      <c r="C53" s="186" t="s">
        <v>1076</v>
      </c>
      <c r="D53" s="777">
        <f>D52-D51</f>
        <v>2</v>
      </c>
      <c r="E53" s="778"/>
      <c r="F53" s="805">
        <f>F52-F51</f>
        <v>2</v>
      </c>
      <c r="G53" s="805">
        <f t="shared" ref="G53:P53" si="8">G52-G51</f>
        <v>2</v>
      </c>
      <c r="H53" s="805">
        <f t="shared" si="8"/>
        <v>2</v>
      </c>
      <c r="I53" s="805">
        <f t="shared" si="8"/>
        <v>2</v>
      </c>
      <c r="J53" s="805">
        <f t="shared" si="8"/>
        <v>2</v>
      </c>
      <c r="K53" s="805">
        <f t="shared" si="8"/>
        <v>2</v>
      </c>
      <c r="L53" s="805">
        <f t="shared" si="8"/>
        <v>2</v>
      </c>
      <c r="M53" s="805">
        <f t="shared" si="8"/>
        <v>2</v>
      </c>
      <c r="N53" s="805">
        <f t="shared" si="8"/>
        <v>2</v>
      </c>
      <c r="O53" s="805">
        <f t="shared" si="8"/>
        <v>2</v>
      </c>
      <c r="P53" s="805">
        <f t="shared" si="8"/>
        <v>2</v>
      </c>
      <c r="Q53" s="71"/>
      <c r="R53" s="146"/>
      <c r="S53" s="71"/>
      <c r="T53" s="156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68"/>
    </row>
    <row r="54" spans="1:31" ht="29.25">
      <c r="A54" s="769"/>
      <c r="B54" s="784" t="s">
        <v>1080</v>
      </c>
      <c r="C54" s="186" t="s">
        <v>861</v>
      </c>
      <c r="D54" s="777">
        <f>SUM(F54:P54)</f>
        <v>0</v>
      </c>
      <c r="E54" s="778"/>
      <c r="F54" s="753">
        <v>0</v>
      </c>
      <c r="G54" s="753">
        <v>0</v>
      </c>
      <c r="H54" s="753">
        <v>0</v>
      </c>
      <c r="I54" s="753">
        <v>0</v>
      </c>
      <c r="J54" s="753">
        <v>0</v>
      </c>
      <c r="K54" s="753">
        <v>0</v>
      </c>
      <c r="L54" s="753">
        <v>0</v>
      </c>
      <c r="M54" s="753">
        <v>0</v>
      </c>
      <c r="N54" s="753">
        <v>0</v>
      </c>
      <c r="O54" s="753">
        <v>0</v>
      </c>
      <c r="P54" s="753">
        <v>0</v>
      </c>
      <c r="Q54" s="71"/>
      <c r="R54" s="146"/>
      <c r="S54" s="71"/>
      <c r="T54" s="156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68" t="s">
        <v>1093</v>
      </c>
    </row>
    <row r="55" spans="1:31">
      <c r="A55" s="232"/>
      <c r="B55" s="776" t="s">
        <v>857</v>
      </c>
      <c r="C55" s="186" t="s">
        <v>861</v>
      </c>
      <c r="D55" s="777">
        <f>SUM(F55:P55)</f>
        <v>0</v>
      </c>
      <c r="E55" s="778"/>
      <c r="F55" s="794">
        <v>0</v>
      </c>
      <c r="G55" s="794">
        <v>0</v>
      </c>
      <c r="H55" s="794">
        <v>0</v>
      </c>
      <c r="I55" s="794">
        <v>0</v>
      </c>
      <c r="J55" s="794">
        <v>0</v>
      </c>
      <c r="K55" s="794">
        <v>0</v>
      </c>
      <c r="L55" s="794">
        <v>0</v>
      </c>
      <c r="M55" s="794">
        <v>0</v>
      </c>
      <c r="N55" s="794">
        <v>0</v>
      </c>
      <c r="O55" s="794">
        <v>0</v>
      </c>
      <c r="P55" s="795">
        <v>0</v>
      </c>
      <c r="Q55" s="71"/>
      <c r="R55" s="146"/>
      <c r="S55" s="71"/>
      <c r="T55" s="156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146"/>
    </row>
    <row r="56" spans="1:31" ht="15.75" thickBot="1">
      <c r="A56" s="232"/>
      <c r="B56" s="780" t="s">
        <v>856</v>
      </c>
      <c r="C56" s="187" t="s">
        <v>861</v>
      </c>
      <c r="D56" s="781">
        <f>D55-D54</f>
        <v>0</v>
      </c>
      <c r="E56" s="376"/>
      <c r="F56" s="802">
        <f t="shared" ref="F56:P56" si="9">F55-F54</f>
        <v>0</v>
      </c>
      <c r="G56" s="802">
        <f t="shared" si="9"/>
        <v>0</v>
      </c>
      <c r="H56" s="802">
        <f t="shared" si="9"/>
        <v>0</v>
      </c>
      <c r="I56" s="802">
        <f t="shared" si="9"/>
        <v>0</v>
      </c>
      <c r="J56" s="802">
        <f t="shared" si="9"/>
        <v>0</v>
      </c>
      <c r="K56" s="802">
        <f t="shared" si="9"/>
        <v>0</v>
      </c>
      <c r="L56" s="802">
        <f t="shared" si="9"/>
        <v>0</v>
      </c>
      <c r="M56" s="802">
        <f t="shared" si="9"/>
        <v>0</v>
      </c>
      <c r="N56" s="802">
        <f t="shared" si="9"/>
        <v>0</v>
      </c>
      <c r="O56" s="802">
        <f t="shared" si="9"/>
        <v>0</v>
      </c>
      <c r="P56" s="803">
        <f t="shared" si="9"/>
        <v>0</v>
      </c>
      <c r="Q56" s="71"/>
      <c r="R56" s="146"/>
      <c r="S56" s="71"/>
      <c r="T56" s="156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146"/>
    </row>
    <row r="57" spans="1:31" ht="43.5">
      <c r="A57" s="232"/>
      <c r="B57" s="783" t="s">
        <v>1066</v>
      </c>
      <c r="C57" s="773" t="s">
        <v>1076</v>
      </c>
      <c r="D57" s="774">
        <f>MAX(F57:P57)</f>
        <v>0</v>
      </c>
      <c r="E57" s="775"/>
      <c r="F57" s="811">
        <v>0</v>
      </c>
      <c r="G57" s="811">
        <v>0</v>
      </c>
      <c r="H57" s="811">
        <v>0</v>
      </c>
      <c r="I57" s="811">
        <v>0</v>
      </c>
      <c r="J57" s="811">
        <v>0</v>
      </c>
      <c r="K57" s="811">
        <v>0</v>
      </c>
      <c r="L57" s="811">
        <v>0</v>
      </c>
      <c r="M57" s="811">
        <v>0</v>
      </c>
      <c r="N57" s="811">
        <v>0</v>
      </c>
      <c r="O57" s="811">
        <v>0</v>
      </c>
      <c r="P57" s="811">
        <v>0</v>
      </c>
      <c r="Q57" s="71"/>
      <c r="R57" s="146"/>
      <c r="S57" s="71"/>
      <c r="T57" s="156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68" t="s">
        <v>1094</v>
      </c>
    </row>
    <row r="58" spans="1:31">
      <c r="A58" s="232"/>
      <c r="B58" s="776" t="s">
        <v>857</v>
      </c>
      <c r="C58" s="789" t="s">
        <v>1076</v>
      </c>
      <c r="D58" s="791">
        <f>MAX(F58:P58)</f>
        <v>1</v>
      </c>
      <c r="E58" s="778"/>
      <c r="F58" s="806">
        <v>1</v>
      </c>
      <c r="G58" s="806">
        <v>1</v>
      </c>
      <c r="H58" s="806">
        <v>1</v>
      </c>
      <c r="I58" s="806">
        <v>1</v>
      </c>
      <c r="J58" s="806">
        <v>1</v>
      </c>
      <c r="K58" s="806">
        <v>1</v>
      </c>
      <c r="L58" s="806">
        <v>1</v>
      </c>
      <c r="M58" s="806">
        <v>1</v>
      </c>
      <c r="N58" s="806">
        <v>1</v>
      </c>
      <c r="O58" s="806">
        <v>1</v>
      </c>
      <c r="P58" s="806">
        <v>1</v>
      </c>
      <c r="Q58" s="71"/>
      <c r="R58" s="146"/>
      <c r="S58" s="71"/>
      <c r="T58" s="156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146"/>
    </row>
    <row r="59" spans="1:31">
      <c r="A59" s="232"/>
      <c r="B59" s="776" t="s">
        <v>856</v>
      </c>
      <c r="C59" s="186" t="s">
        <v>1076</v>
      </c>
      <c r="D59" s="777">
        <f>D57-D58</f>
        <v>-1</v>
      </c>
      <c r="E59" s="778"/>
      <c r="F59" s="806">
        <f>F57-F58</f>
        <v>-1</v>
      </c>
      <c r="G59" s="806">
        <f t="shared" ref="G59:P59" si="10">G57-G58</f>
        <v>-1</v>
      </c>
      <c r="H59" s="806">
        <f t="shared" si="10"/>
        <v>-1</v>
      </c>
      <c r="I59" s="806">
        <f t="shared" si="10"/>
        <v>-1</v>
      </c>
      <c r="J59" s="806">
        <f t="shared" si="10"/>
        <v>-1</v>
      </c>
      <c r="K59" s="806">
        <f t="shared" si="10"/>
        <v>-1</v>
      </c>
      <c r="L59" s="806">
        <f t="shared" si="10"/>
        <v>-1</v>
      </c>
      <c r="M59" s="806">
        <f t="shared" si="10"/>
        <v>-1</v>
      </c>
      <c r="N59" s="806">
        <f t="shared" si="10"/>
        <v>-1</v>
      </c>
      <c r="O59" s="806">
        <f t="shared" si="10"/>
        <v>-1</v>
      </c>
      <c r="P59" s="806">
        <f t="shared" si="10"/>
        <v>-1</v>
      </c>
      <c r="Q59" s="71"/>
      <c r="R59" s="146"/>
      <c r="S59" s="71"/>
      <c r="T59" s="156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146"/>
    </row>
    <row r="60" spans="1:31" ht="29.25">
      <c r="A60" s="769"/>
      <c r="B60" s="787" t="s">
        <v>1081</v>
      </c>
      <c r="C60" s="771" t="s">
        <v>861</v>
      </c>
      <c r="D60" s="777">
        <f>SUM(F60:P60)</f>
        <v>0</v>
      </c>
      <c r="E60" s="778"/>
      <c r="F60" s="812">
        <f t="shared" ref="F60:P60" si="11">F48+F54</f>
        <v>0</v>
      </c>
      <c r="G60" s="812">
        <f t="shared" si="11"/>
        <v>0</v>
      </c>
      <c r="H60" s="812">
        <f t="shared" si="11"/>
        <v>0</v>
      </c>
      <c r="I60" s="812">
        <f t="shared" si="11"/>
        <v>0</v>
      </c>
      <c r="J60" s="812">
        <f t="shared" si="11"/>
        <v>0</v>
      </c>
      <c r="K60" s="812">
        <f t="shared" si="11"/>
        <v>0</v>
      </c>
      <c r="L60" s="812">
        <f t="shared" si="11"/>
        <v>0</v>
      </c>
      <c r="M60" s="812">
        <f t="shared" si="11"/>
        <v>0</v>
      </c>
      <c r="N60" s="812">
        <f t="shared" si="11"/>
        <v>0</v>
      </c>
      <c r="O60" s="812">
        <f t="shared" si="11"/>
        <v>0</v>
      </c>
      <c r="P60" s="813">
        <f t="shared" si="11"/>
        <v>0</v>
      </c>
      <c r="Q60" s="71"/>
      <c r="R60" s="146"/>
      <c r="S60" s="71"/>
      <c r="T60" s="156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68" t="s">
        <v>1095</v>
      </c>
    </row>
    <row r="61" spans="1:31">
      <c r="A61" s="232"/>
      <c r="B61" s="776" t="s">
        <v>857</v>
      </c>
      <c r="C61" s="186" t="s">
        <v>861</v>
      </c>
      <c r="D61" s="777">
        <f>SUM(F61:P61)</f>
        <v>0</v>
      </c>
      <c r="E61" s="778"/>
      <c r="F61" s="794">
        <v>0</v>
      </c>
      <c r="G61" s="794">
        <v>0</v>
      </c>
      <c r="H61" s="794">
        <v>0</v>
      </c>
      <c r="I61" s="794">
        <v>0</v>
      </c>
      <c r="J61" s="794">
        <v>0</v>
      </c>
      <c r="K61" s="794">
        <v>0</v>
      </c>
      <c r="L61" s="794">
        <v>0</v>
      </c>
      <c r="M61" s="794">
        <v>0</v>
      </c>
      <c r="N61" s="794">
        <v>0</v>
      </c>
      <c r="O61" s="794">
        <v>0</v>
      </c>
      <c r="P61" s="795">
        <v>0</v>
      </c>
      <c r="Q61" s="71"/>
      <c r="R61" s="146"/>
      <c r="S61" s="71"/>
      <c r="T61" s="156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146"/>
    </row>
    <row r="62" spans="1:31" ht="15.75" thickBot="1">
      <c r="A62" s="232"/>
      <c r="B62" s="780" t="s">
        <v>856</v>
      </c>
      <c r="C62" s="187" t="s">
        <v>861</v>
      </c>
      <c r="D62" s="781">
        <f>D61-D60</f>
        <v>0</v>
      </c>
      <c r="E62" s="376"/>
      <c r="F62" s="802">
        <f t="shared" ref="F62:P62" si="12">F61-F60</f>
        <v>0</v>
      </c>
      <c r="G62" s="802">
        <f t="shared" si="12"/>
        <v>0</v>
      </c>
      <c r="H62" s="802">
        <f t="shared" si="12"/>
        <v>0</v>
      </c>
      <c r="I62" s="802">
        <f t="shared" si="12"/>
        <v>0</v>
      </c>
      <c r="J62" s="802">
        <f t="shared" si="12"/>
        <v>0</v>
      </c>
      <c r="K62" s="802">
        <f t="shared" si="12"/>
        <v>0</v>
      </c>
      <c r="L62" s="802">
        <f t="shared" si="12"/>
        <v>0</v>
      </c>
      <c r="M62" s="802">
        <f t="shared" si="12"/>
        <v>0</v>
      </c>
      <c r="N62" s="802">
        <f t="shared" si="12"/>
        <v>0</v>
      </c>
      <c r="O62" s="802">
        <f t="shared" si="12"/>
        <v>0</v>
      </c>
      <c r="P62" s="803">
        <f t="shared" si="12"/>
        <v>0</v>
      </c>
      <c r="Q62" s="71"/>
      <c r="R62" s="146"/>
      <c r="S62" s="71"/>
      <c r="T62" s="156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146"/>
    </row>
    <row r="63" spans="1:31" ht="43.5">
      <c r="A63" s="232"/>
      <c r="B63" s="783" t="s">
        <v>1067</v>
      </c>
      <c r="C63" s="773" t="s">
        <v>1076</v>
      </c>
      <c r="D63" s="774">
        <f>MAX(F63:P63)</f>
        <v>0</v>
      </c>
      <c r="E63" s="775"/>
      <c r="F63" s="811">
        <v>0</v>
      </c>
      <c r="G63" s="811">
        <v>0</v>
      </c>
      <c r="H63" s="811">
        <v>0</v>
      </c>
      <c r="I63" s="811">
        <v>0</v>
      </c>
      <c r="J63" s="811">
        <v>0</v>
      </c>
      <c r="K63" s="811">
        <v>0</v>
      </c>
      <c r="L63" s="811">
        <v>0</v>
      </c>
      <c r="M63" s="811">
        <v>0</v>
      </c>
      <c r="N63" s="811">
        <v>0</v>
      </c>
      <c r="O63" s="811">
        <v>0</v>
      </c>
      <c r="P63" s="811">
        <v>0</v>
      </c>
      <c r="Q63" s="71"/>
      <c r="R63" s="146"/>
      <c r="S63" s="71"/>
      <c r="T63" s="156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68" t="s">
        <v>1094</v>
      </c>
    </row>
    <row r="64" spans="1:31">
      <c r="A64" s="232"/>
      <c r="B64" s="776" t="s">
        <v>857</v>
      </c>
      <c r="C64" s="789" t="s">
        <v>1076</v>
      </c>
      <c r="D64" s="777">
        <f>MAX(F64:P64)</f>
        <v>1</v>
      </c>
      <c r="E64" s="778"/>
      <c r="F64" s="806">
        <v>1</v>
      </c>
      <c r="G64" s="806">
        <v>1</v>
      </c>
      <c r="H64" s="806">
        <v>1</v>
      </c>
      <c r="I64" s="806">
        <v>1</v>
      </c>
      <c r="J64" s="806">
        <v>1</v>
      </c>
      <c r="K64" s="806">
        <v>1</v>
      </c>
      <c r="L64" s="806">
        <v>1</v>
      </c>
      <c r="M64" s="806">
        <v>1</v>
      </c>
      <c r="N64" s="806">
        <v>1</v>
      </c>
      <c r="O64" s="806">
        <v>1</v>
      </c>
      <c r="P64" s="806">
        <v>1</v>
      </c>
      <c r="Q64" s="71"/>
      <c r="R64" s="146"/>
      <c r="S64" s="71"/>
      <c r="T64" s="156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146"/>
    </row>
    <row r="65" spans="1:31">
      <c r="A65" s="232"/>
      <c r="B65" s="776" t="s">
        <v>856</v>
      </c>
      <c r="C65" s="186" t="s">
        <v>1076</v>
      </c>
      <c r="D65" s="777">
        <f>D64-D63</f>
        <v>1</v>
      </c>
      <c r="E65" s="778"/>
      <c r="F65" s="806">
        <f>F64-F63</f>
        <v>1</v>
      </c>
      <c r="G65" s="806">
        <f t="shared" ref="G65:P65" si="13">G64-G63</f>
        <v>1</v>
      </c>
      <c r="H65" s="806">
        <f t="shared" si="13"/>
        <v>1</v>
      </c>
      <c r="I65" s="806">
        <f t="shared" si="13"/>
        <v>1</v>
      </c>
      <c r="J65" s="806">
        <f t="shared" si="13"/>
        <v>1</v>
      </c>
      <c r="K65" s="806">
        <f t="shared" si="13"/>
        <v>1</v>
      </c>
      <c r="L65" s="806">
        <f t="shared" si="13"/>
        <v>1</v>
      </c>
      <c r="M65" s="806">
        <f t="shared" si="13"/>
        <v>1</v>
      </c>
      <c r="N65" s="806">
        <f t="shared" si="13"/>
        <v>1</v>
      </c>
      <c r="O65" s="806">
        <f t="shared" si="13"/>
        <v>1</v>
      </c>
      <c r="P65" s="806">
        <f t="shared" si="13"/>
        <v>1</v>
      </c>
      <c r="Q65" s="71"/>
      <c r="R65" s="146"/>
      <c r="S65" s="71"/>
      <c r="T65" s="156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146"/>
    </row>
    <row r="66" spans="1:31" ht="29.25">
      <c r="A66" s="769"/>
      <c r="B66" s="787" t="s">
        <v>1083</v>
      </c>
      <c r="C66" s="186" t="s">
        <v>861</v>
      </c>
      <c r="D66" s="777">
        <f>SUM(F66:P66)</f>
        <v>0</v>
      </c>
      <c r="E66" s="778"/>
      <c r="F66" s="812">
        <v>0</v>
      </c>
      <c r="G66" s="812">
        <v>0</v>
      </c>
      <c r="H66" s="812">
        <v>0</v>
      </c>
      <c r="I66" s="812">
        <v>0</v>
      </c>
      <c r="J66" s="812">
        <v>0</v>
      </c>
      <c r="K66" s="812">
        <v>0</v>
      </c>
      <c r="L66" s="812">
        <v>0</v>
      </c>
      <c r="M66" s="812">
        <v>0</v>
      </c>
      <c r="N66" s="812">
        <v>0</v>
      </c>
      <c r="O66" s="812">
        <v>0</v>
      </c>
      <c r="P66" s="812">
        <v>0</v>
      </c>
      <c r="Q66" s="71"/>
      <c r="R66" s="146"/>
      <c r="S66" s="71"/>
      <c r="T66" s="156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68" t="s">
        <v>1095</v>
      </c>
    </row>
    <row r="67" spans="1:31">
      <c r="A67" s="232"/>
      <c r="B67" s="776" t="s">
        <v>857</v>
      </c>
      <c r="C67" s="186" t="s">
        <v>861</v>
      </c>
      <c r="D67" s="777">
        <f>SUM(F67:P67)</f>
        <v>0</v>
      </c>
      <c r="E67" s="778"/>
      <c r="F67" s="794">
        <v>0</v>
      </c>
      <c r="G67" s="794">
        <v>0</v>
      </c>
      <c r="H67" s="794">
        <v>0</v>
      </c>
      <c r="I67" s="794">
        <v>0</v>
      </c>
      <c r="J67" s="794">
        <v>0</v>
      </c>
      <c r="K67" s="794">
        <v>0</v>
      </c>
      <c r="L67" s="794">
        <v>0</v>
      </c>
      <c r="M67" s="794">
        <v>0</v>
      </c>
      <c r="N67" s="794">
        <v>0</v>
      </c>
      <c r="O67" s="794">
        <v>0</v>
      </c>
      <c r="P67" s="795">
        <v>0</v>
      </c>
      <c r="Q67" s="71"/>
      <c r="R67" s="146"/>
      <c r="S67" s="71"/>
      <c r="T67" s="156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146"/>
    </row>
    <row r="68" spans="1:31" ht="15.75" thickBot="1">
      <c r="A68" s="232"/>
      <c r="B68" s="780" t="s">
        <v>856</v>
      </c>
      <c r="C68" s="187" t="s">
        <v>861</v>
      </c>
      <c r="D68" s="781">
        <f>D67-D66</f>
        <v>0</v>
      </c>
      <c r="E68" s="376"/>
      <c r="F68" s="802">
        <f t="shared" ref="F68:P68" si="14">F67-F66</f>
        <v>0</v>
      </c>
      <c r="G68" s="802">
        <f t="shared" si="14"/>
        <v>0</v>
      </c>
      <c r="H68" s="802">
        <f t="shared" si="14"/>
        <v>0</v>
      </c>
      <c r="I68" s="802">
        <f t="shared" si="14"/>
        <v>0</v>
      </c>
      <c r="J68" s="802">
        <f t="shared" si="14"/>
        <v>0</v>
      </c>
      <c r="K68" s="802">
        <f t="shared" si="14"/>
        <v>0</v>
      </c>
      <c r="L68" s="802">
        <f t="shared" si="14"/>
        <v>0</v>
      </c>
      <c r="M68" s="802">
        <f t="shared" si="14"/>
        <v>0</v>
      </c>
      <c r="N68" s="802">
        <f t="shared" si="14"/>
        <v>0</v>
      </c>
      <c r="O68" s="802">
        <f t="shared" si="14"/>
        <v>0</v>
      </c>
      <c r="P68" s="803">
        <f t="shared" si="14"/>
        <v>0</v>
      </c>
      <c r="Q68" s="71"/>
      <c r="R68" s="146"/>
      <c r="S68" s="71"/>
      <c r="T68" s="156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146"/>
    </row>
    <row r="69" spans="1:31" ht="29.25">
      <c r="A69" s="232"/>
      <c r="B69" s="783" t="s">
        <v>1068</v>
      </c>
      <c r="C69" s="773" t="s">
        <v>1076</v>
      </c>
      <c r="D69" s="774">
        <f>MAX(F69:P69)</f>
        <v>0</v>
      </c>
      <c r="E69" s="775"/>
      <c r="F69" s="812">
        <v>0</v>
      </c>
      <c r="G69" s="812">
        <v>0</v>
      </c>
      <c r="H69" s="812">
        <v>0</v>
      </c>
      <c r="I69" s="812">
        <v>0</v>
      </c>
      <c r="J69" s="812">
        <v>0</v>
      </c>
      <c r="K69" s="812">
        <v>0</v>
      </c>
      <c r="L69" s="812">
        <v>0</v>
      </c>
      <c r="M69" s="812">
        <v>0</v>
      </c>
      <c r="N69" s="812">
        <v>0</v>
      </c>
      <c r="O69" s="812">
        <v>0</v>
      </c>
      <c r="P69" s="812">
        <v>0</v>
      </c>
      <c r="Q69" s="71"/>
      <c r="R69" s="146"/>
      <c r="S69" s="71"/>
      <c r="T69" s="156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68" t="s">
        <v>1096</v>
      </c>
    </row>
    <row r="70" spans="1:31">
      <c r="A70" s="232"/>
      <c r="B70" s="776" t="s">
        <v>857</v>
      </c>
      <c r="C70" s="789" t="s">
        <v>1076</v>
      </c>
      <c r="D70" s="777">
        <f>MAX(F70:P70)</f>
        <v>0</v>
      </c>
      <c r="E70" s="778"/>
      <c r="F70" s="794">
        <v>0</v>
      </c>
      <c r="G70" s="794">
        <v>0</v>
      </c>
      <c r="H70" s="794">
        <v>0</v>
      </c>
      <c r="I70" s="794">
        <v>0</v>
      </c>
      <c r="J70" s="794">
        <v>0</v>
      </c>
      <c r="K70" s="794">
        <v>0</v>
      </c>
      <c r="L70" s="794">
        <v>0</v>
      </c>
      <c r="M70" s="794">
        <v>0</v>
      </c>
      <c r="N70" s="794">
        <v>0</v>
      </c>
      <c r="O70" s="794">
        <v>0</v>
      </c>
      <c r="P70" s="795">
        <v>0</v>
      </c>
      <c r="Q70" s="71"/>
      <c r="R70" s="146"/>
      <c r="S70" s="71"/>
      <c r="T70" s="156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146"/>
    </row>
    <row r="71" spans="1:31">
      <c r="A71" s="232"/>
      <c r="B71" s="776" t="s">
        <v>856</v>
      </c>
      <c r="C71" s="186" t="s">
        <v>1076</v>
      </c>
      <c r="D71" s="777">
        <f>D70-D69</f>
        <v>0</v>
      </c>
      <c r="E71" s="778"/>
      <c r="F71" s="807">
        <f>F70-F69</f>
        <v>0</v>
      </c>
      <c r="G71" s="807">
        <f t="shared" ref="G71:P71" si="15">G70-G69</f>
        <v>0</v>
      </c>
      <c r="H71" s="807">
        <f t="shared" si="15"/>
        <v>0</v>
      </c>
      <c r="I71" s="807">
        <f t="shared" si="15"/>
        <v>0</v>
      </c>
      <c r="J71" s="807">
        <f t="shared" si="15"/>
        <v>0</v>
      </c>
      <c r="K71" s="807">
        <f t="shared" si="15"/>
        <v>0</v>
      </c>
      <c r="L71" s="807">
        <f t="shared" si="15"/>
        <v>0</v>
      </c>
      <c r="M71" s="807">
        <f t="shared" si="15"/>
        <v>0</v>
      </c>
      <c r="N71" s="807">
        <f t="shared" si="15"/>
        <v>0</v>
      </c>
      <c r="O71" s="807">
        <f t="shared" si="15"/>
        <v>0</v>
      </c>
      <c r="P71" s="808">
        <f t="shared" si="15"/>
        <v>0</v>
      </c>
      <c r="Q71" s="71"/>
      <c r="R71" s="146"/>
      <c r="S71" s="71"/>
      <c r="T71" s="156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146"/>
    </row>
    <row r="72" spans="1:31" ht="29.25">
      <c r="A72" s="769"/>
      <c r="B72" s="787" t="s">
        <v>1084</v>
      </c>
      <c r="C72" s="771" t="s">
        <v>861</v>
      </c>
      <c r="D72" s="777">
        <f>SUM(F72:P72)</f>
        <v>0</v>
      </c>
      <c r="E72" s="778"/>
      <c r="F72" s="812">
        <v>0</v>
      </c>
      <c r="G72" s="812">
        <v>0</v>
      </c>
      <c r="H72" s="812">
        <v>0</v>
      </c>
      <c r="I72" s="812">
        <v>0</v>
      </c>
      <c r="J72" s="812">
        <v>0</v>
      </c>
      <c r="K72" s="812">
        <v>0</v>
      </c>
      <c r="L72" s="812">
        <v>0</v>
      </c>
      <c r="M72" s="812">
        <v>0</v>
      </c>
      <c r="N72" s="812">
        <v>0</v>
      </c>
      <c r="O72" s="812">
        <v>0</v>
      </c>
      <c r="P72" s="812">
        <v>0</v>
      </c>
      <c r="Q72" s="71"/>
      <c r="R72" s="146"/>
      <c r="S72" s="71"/>
      <c r="T72" s="156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68" t="s">
        <v>1101</v>
      </c>
    </row>
    <row r="73" spans="1:31">
      <c r="A73" s="232"/>
      <c r="B73" s="776" t="s">
        <v>857</v>
      </c>
      <c r="C73" s="186" t="s">
        <v>861</v>
      </c>
      <c r="D73" s="777">
        <f>SUM(F73:P73)</f>
        <v>0</v>
      </c>
      <c r="E73" s="778"/>
      <c r="F73" s="794">
        <v>0</v>
      </c>
      <c r="G73" s="794">
        <v>0</v>
      </c>
      <c r="H73" s="794">
        <v>0</v>
      </c>
      <c r="I73" s="794">
        <v>0</v>
      </c>
      <c r="J73" s="794">
        <v>0</v>
      </c>
      <c r="K73" s="794">
        <v>0</v>
      </c>
      <c r="L73" s="794">
        <v>0</v>
      </c>
      <c r="M73" s="794">
        <v>0</v>
      </c>
      <c r="N73" s="794">
        <v>0</v>
      </c>
      <c r="O73" s="794">
        <v>0</v>
      </c>
      <c r="P73" s="795">
        <v>0</v>
      </c>
      <c r="Q73" s="71"/>
      <c r="R73" s="146"/>
      <c r="S73" s="71"/>
      <c r="T73" s="156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146"/>
    </row>
    <row r="74" spans="1:31" ht="15.75" thickBot="1">
      <c r="A74" s="232"/>
      <c r="B74" s="780" t="s">
        <v>856</v>
      </c>
      <c r="C74" s="187" t="s">
        <v>861</v>
      </c>
      <c r="D74" s="781">
        <f>D73-D72</f>
        <v>0</v>
      </c>
      <c r="E74" s="376"/>
      <c r="F74" s="802">
        <f>F73-F72</f>
        <v>0</v>
      </c>
      <c r="G74" s="802">
        <f t="shared" ref="G74:P74" si="16">G73-G72</f>
        <v>0</v>
      </c>
      <c r="H74" s="802">
        <f t="shared" si="16"/>
        <v>0</v>
      </c>
      <c r="I74" s="802">
        <f t="shared" si="16"/>
        <v>0</v>
      </c>
      <c r="J74" s="802">
        <f t="shared" si="16"/>
        <v>0</v>
      </c>
      <c r="K74" s="802">
        <f t="shared" si="16"/>
        <v>0</v>
      </c>
      <c r="L74" s="802">
        <f t="shared" si="16"/>
        <v>0</v>
      </c>
      <c r="M74" s="802">
        <f t="shared" si="16"/>
        <v>0</v>
      </c>
      <c r="N74" s="802">
        <f t="shared" si="16"/>
        <v>0</v>
      </c>
      <c r="O74" s="802">
        <f t="shared" si="16"/>
        <v>0</v>
      </c>
      <c r="P74" s="803">
        <f t="shared" si="16"/>
        <v>0</v>
      </c>
      <c r="Q74" s="71"/>
      <c r="R74" s="146"/>
      <c r="S74" s="71"/>
      <c r="T74" s="156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146"/>
    </row>
    <row r="75" spans="1:31" ht="29.25">
      <c r="A75" s="232"/>
      <c r="B75" s="783" t="s">
        <v>1069</v>
      </c>
      <c r="C75" s="785" t="s">
        <v>865</v>
      </c>
      <c r="D75" s="774">
        <f>MAX(F75:P75)</f>
        <v>0</v>
      </c>
      <c r="E75" s="775"/>
      <c r="F75" s="793">
        <v>0</v>
      </c>
      <c r="G75" s="793">
        <v>0</v>
      </c>
      <c r="H75" s="793">
        <v>0</v>
      </c>
      <c r="I75" s="793">
        <v>0</v>
      </c>
      <c r="J75" s="793">
        <v>0</v>
      </c>
      <c r="K75" s="793">
        <v>0</v>
      </c>
      <c r="L75" s="793">
        <v>0</v>
      </c>
      <c r="M75" s="793">
        <v>0</v>
      </c>
      <c r="N75" s="793">
        <v>0</v>
      </c>
      <c r="O75" s="793">
        <v>0</v>
      </c>
      <c r="P75" s="793">
        <v>0</v>
      </c>
      <c r="Q75" s="71"/>
      <c r="R75" s="146"/>
      <c r="S75" s="71"/>
      <c r="T75" s="156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68" t="s">
        <v>1097</v>
      </c>
    </row>
    <row r="76" spans="1:31">
      <c r="A76" s="232"/>
      <c r="B76" s="776" t="s">
        <v>857</v>
      </c>
      <c r="C76" s="785" t="s">
        <v>865</v>
      </c>
      <c r="D76" s="777">
        <f>MAX(F76:P76)</f>
        <v>0</v>
      </c>
      <c r="E76" s="778"/>
      <c r="F76" s="794">
        <v>0</v>
      </c>
      <c r="G76" s="794">
        <v>0</v>
      </c>
      <c r="H76" s="794">
        <v>0</v>
      </c>
      <c r="I76" s="794">
        <v>0</v>
      </c>
      <c r="J76" s="794">
        <v>0</v>
      </c>
      <c r="K76" s="794">
        <v>0</v>
      </c>
      <c r="L76" s="794">
        <v>0</v>
      </c>
      <c r="M76" s="794">
        <v>0</v>
      </c>
      <c r="N76" s="794">
        <v>0</v>
      </c>
      <c r="O76" s="794">
        <v>0</v>
      </c>
      <c r="P76" s="795">
        <v>0</v>
      </c>
      <c r="Q76" s="71"/>
      <c r="R76" s="146"/>
      <c r="S76" s="71"/>
      <c r="T76" s="156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146"/>
    </row>
    <row r="77" spans="1:31">
      <c r="A77" s="232"/>
      <c r="B77" s="776" t="s">
        <v>856</v>
      </c>
      <c r="C77" s="785" t="s">
        <v>865</v>
      </c>
      <c r="D77" s="777">
        <f>D76-D75</f>
        <v>0</v>
      </c>
      <c r="E77" s="778"/>
      <c r="F77" s="807">
        <f>F76-F75</f>
        <v>0</v>
      </c>
      <c r="G77" s="807">
        <f t="shared" ref="G77:P77" si="17">G76-G75</f>
        <v>0</v>
      </c>
      <c r="H77" s="807">
        <f t="shared" si="17"/>
        <v>0</v>
      </c>
      <c r="I77" s="807">
        <f t="shared" si="17"/>
        <v>0</v>
      </c>
      <c r="J77" s="807">
        <f t="shared" si="17"/>
        <v>0</v>
      </c>
      <c r="K77" s="807">
        <f t="shared" si="17"/>
        <v>0</v>
      </c>
      <c r="L77" s="807">
        <f t="shared" si="17"/>
        <v>0</v>
      </c>
      <c r="M77" s="807">
        <f t="shared" si="17"/>
        <v>0</v>
      </c>
      <c r="N77" s="807">
        <f t="shared" si="17"/>
        <v>0</v>
      </c>
      <c r="O77" s="807">
        <f t="shared" si="17"/>
        <v>0</v>
      </c>
      <c r="P77" s="808">
        <f t="shared" si="17"/>
        <v>0</v>
      </c>
      <c r="Q77" s="71"/>
      <c r="R77" s="146"/>
      <c r="S77" s="71"/>
      <c r="T77" s="156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146"/>
    </row>
    <row r="78" spans="1:31" ht="29.25">
      <c r="A78" s="769"/>
      <c r="B78" s="787" t="s">
        <v>1085</v>
      </c>
      <c r="C78" s="785" t="s">
        <v>1087</v>
      </c>
      <c r="D78" s="777">
        <f>SUM(F78:P78)</f>
        <v>0</v>
      </c>
      <c r="E78" s="778"/>
      <c r="F78" s="812">
        <v>0</v>
      </c>
      <c r="G78" s="812">
        <v>0</v>
      </c>
      <c r="H78" s="812">
        <v>0</v>
      </c>
      <c r="I78" s="812">
        <v>0</v>
      </c>
      <c r="J78" s="812">
        <v>0</v>
      </c>
      <c r="K78" s="812">
        <v>0</v>
      </c>
      <c r="L78" s="812">
        <v>0</v>
      </c>
      <c r="M78" s="812">
        <v>0</v>
      </c>
      <c r="N78" s="812">
        <v>0</v>
      </c>
      <c r="O78" s="812">
        <v>0</v>
      </c>
      <c r="P78" s="812">
        <v>0</v>
      </c>
      <c r="Q78" s="71"/>
      <c r="R78" s="146"/>
      <c r="S78" s="71"/>
      <c r="T78" s="156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68" t="s">
        <v>1100</v>
      </c>
    </row>
    <row r="79" spans="1:31">
      <c r="A79" s="232"/>
      <c r="B79" s="776" t="s">
        <v>857</v>
      </c>
      <c r="C79" s="785" t="s">
        <v>1087</v>
      </c>
      <c r="D79" s="777">
        <f>SUM(F79:P79)</f>
        <v>1</v>
      </c>
      <c r="E79" s="778"/>
      <c r="F79" s="794">
        <v>0</v>
      </c>
      <c r="G79" s="794">
        <v>0</v>
      </c>
      <c r="H79" s="794">
        <v>0</v>
      </c>
      <c r="I79" s="794">
        <v>0</v>
      </c>
      <c r="J79" s="794">
        <v>0</v>
      </c>
      <c r="K79" s="794">
        <v>1</v>
      </c>
      <c r="L79" s="794">
        <v>0</v>
      </c>
      <c r="M79" s="794">
        <v>0</v>
      </c>
      <c r="N79" s="794">
        <v>0</v>
      </c>
      <c r="O79" s="794">
        <v>0</v>
      </c>
      <c r="P79" s="795">
        <v>0</v>
      </c>
      <c r="Q79" s="71"/>
      <c r="R79" s="146"/>
      <c r="S79" s="71"/>
      <c r="T79" s="156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146"/>
    </row>
    <row r="80" spans="1:31" ht="15.75" thickBot="1">
      <c r="A80" s="232"/>
      <c r="B80" s="780" t="s">
        <v>856</v>
      </c>
      <c r="C80" s="785" t="s">
        <v>1087</v>
      </c>
      <c r="D80" s="781">
        <f>D79-D78</f>
        <v>1</v>
      </c>
      <c r="E80" s="376"/>
      <c r="F80" s="802">
        <f>F79-F78</f>
        <v>0</v>
      </c>
      <c r="G80" s="802">
        <f t="shared" ref="G80:P80" si="18">G79-G78</f>
        <v>0</v>
      </c>
      <c r="H80" s="802">
        <f t="shared" si="18"/>
        <v>0</v>
      </c>
      <c r="I80" s="802">
        <f t="shared" si="18"/>
        <v>0</v>
      </c>
      <c r="J80" s="802">
        <f t="shared" si="18"/>
        <v>0</v>
      </c>
      <c r="K80" s="802">
        <f t="shared" si="18"/>
        <v>1</v>
      </c>
      <c r="L80" s="802">
        <f t="shared" si="18"/>
        <v>0</v>
      </c>
      <c r="M80" s="802">
        <f t="shared" si="18"/>
        <v>0</v>
      </c>
      <c r="N80" s="802">
        <f t="shared" si="18"/>
        <v>0</v>
      </c>
      <c r="O80" s="802">
        <f t="shared" si="18"/>
        <v>0</v>
      </c>
      <c r="P80" s="803">
        <f t="shared" si="18"/>
        <v>0</v>
      </c>
      <c r="Q80" s="71"/>
      <c r="R80" s="146"/>
      <c r="S80" s="71"/>
      <c r="T80" s="156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146"/>
    </row>
    <row r="81" spans="1:31" ht="30" thickBot="1">
      <c r="A81" s="232"/>
      <c r="B81" s="792" t="s">
        <v>1070</v>
      </c>
      <c r="C81" s="786" t="s">
        <v>1071</v>
      </c>
      <c r="D81" s="774">
        <f>MAX(F81:P81)</f>
        <v>0</v>
      </c>
      <c r="E81" s="775"/>
      <c r="F81" s="793">
        <v>0</v>
      </c>
      <c r="G81" s="793">
        <v>0</v>
      </c>
      <c r="H81" s="793">
        <v>0</v>
      </c>
      <c r="I81" s="793">
        <v>0</v>
      </c>
      <c r="J81" s="793">
        <v>0</v>
      </c>
      <c r="K81" s="793">
        <v>0</v>
      </c>
      <c r="L81" s="793">
        <v>0</v>
      </c>
      <c r="M81" s="793">
        <v>0</v>
      </c>
      <c r="N81" s="793">
        <v>0</v>
      </c>
      <c r="O81" s="793">
        <v>0</v>
      </c>
      <c r="P81" s="793">
        <v>0</v>
      </c>
      <c r="Q81" s="71"/>
      <c r="R81" s="146"/>
      <c r="S81" s="71"/>
      <c r="T81" s="156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68" t="s">
        <v>1098</v>
      </c>
    </row>
    <row r="82" spans="1:31">
      <c r="A82" s="232"/>
      <c r="B82" s="776" t="s">
        <v>857</v>
      </c>
      <c r="C82" s="188" t="s">
        <v>1071</v>
      </c>
      <c r="D82" s="774">
        <f>MAX(F82:P82)</f>
        <v>5</v>
      </c>
      <c r="E82" s="778"/>
      <c r="F82" s="794">
        <v>1</v>
      </c>
      <c r="G82" s="794">
        <v>1</v>
      </c>
      <c r="H82" s="794">
        <v>1</v>
      </c>
      <c r="I82" s="794">
        <v>1</v>
      </c>
      <c r="J82" s="794">
        <v>1</v>
      </c>
      <c r="K82" s="794">
        <v>5</v>
      </c>
      <c r="L82" s="794">
        <v>1</v>
      </c>
      <c r="M82" s="794">
        <v>1</v>
      </c>
      <c r="N82" s="794">
        <v>1</v>
      </c>
      <c r="O82" s="794">
        <v>1</v>
      </c>
      <c r="P82" s="795">
        <v>1</v>
      </c>
      <c r="Q82" s="71"/>
      <c r="R82" s="146"/>
      <c r="S82" s="71"/>
      <c r="T82" s="156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146"/>
    </row>
    <row r="83" spans="1:31">
      <c r="A83" s="232"/>
      <c r="B83" s="776" t="s">
        <v>856</v>
      </c>
      <c r="C83" s="188" t="s">
        <v>1071</v>
      </c>
      <c r="D83" s="777">
        <f>D82-D81</f>
        <v>5</v>
      </c>
      <c r="E83" s="778"/>
      <c r="F83" s="794">
        <f>F82-F81</f>
        <v>1</v>
      </c>
      <c r="G83" s="794">
        <f t="shared" ref="G83:P83" si="19">G82-G81</f>
        <v>1</v>
      </c>
      <c r="H83" s="794">
        <f t="shared" si="19"/>
        <v>1</v>
      </c>
      <c r="I83" s="794">
        <f t="shared" si="19"/>
        <v>1</v>
      </c>
      <c r="J83" s="794">
        <f t="shared" si="19"/>
        <v>1</v>
      </c>
      <c r="K83" s="794">
        <f t="shared" si="19"/>
        <v>5</v>
      </c>
      <c r="L83" s="794">
        <f t="shared" si="19"/>
        <v>1</v>
      </c>
      <c r="M83" s="794">
        <f t="shared" si="19"/>
        <v>1</v>
      </c>
      <c r="N83" s="794">
        <f t="shared" si="19"/>
        <v>1</v>
      </c>
      <c r="O83" s="794">
        <f t="shared" si="19"/>
        <v>1</v>
      </c>
      <c r="P83" s="794">
        <f t="shared" si="19"/>
        <v>1</v>
      </c>
      <c r="Q83" s="71"/>
      <c r="R83" s="146"/>
      <c r="S83" s="71"/>
      <c r="T83" s="156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146"/>
    </row>
    <row r="84" spans="1:31">
      <c r="A84" s="769"/>
      <c r="B84" s="784" t="s">
        <v>1086</v>
      </c>
      <c r="C84" s="186" t="s">
        <v>1088</v>
      </c>
      <c r="D84" s="777">
        <f>SUM(F84:P84)</f>
        <v>0</v>
      </c>
      <c r="E84" s="778"/>
      <c r="F84" s="753">
        <v>0</v>
      </c>
      <c r="G84" s="753">
        <v>0</v>
      </c>
      <c r="H84" s="753">
        <v>0</v>
      </c>
      <c r="I84" s="753">
        <v>0</v>
      </c>
      <c r="J84" s="753">
        <v>0</v>
      </c>
      <c r="K84" s="753">
        <v>0</v>
      </c>
      <c r="L84" s="753">
        <v>0</v>
      </c>
      <c r="M84" s="753">
        <v>0</v>
      </c>
      <c r="N84" s="753">
        <v>0</v>
      </c>
      <c r="O84" s="753">
        <v>0</v>
      </c>
      <c r="P84" s="753">
        <v>0</v>
      </c>
      <c r="Q84" s="71"/>
      <c r="R84" s="146"/>
      <c r="S84" s="71"/>
      <c r="T84" s="156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68" t="s">
        <v>1099</v>
      </c>
    </row>
    <row r="85" spans="1:31">
      <c r="A85" s="71"/>
      <c r="B85" s="776" t="s">
        <v>857</v>
      </c>
      <c r="C85" s="186" t="s">
        <v>1088</v>
      </c>
      <c r="D85" s="777">
        <f>SUM(F85:P85)</f>
        <v>0</v>
      </c>
      <c r="E85" s="778"/>
      <c r="F85" s="794">
        <v>0</v>
      </c>
      <c r="G85" s="794">
        <v>0</v>
      </c>
      <c r="H85" s="794">
        <v>0</v>
      </c>
      <c r="I85" s="794">
        <v>0</v>
      </c>
      <c r="J85" s="794">
        <v>0</v>
      </c>
      <c r="K85" s="794">
        <v>0</v>
      </c>
      <c r="L85" s="794">
        <v>0</v>
      </c>
      <c r="M85" s="794">
        <v>0</v>
      </c>
      <c r="N85" s="794">
        <v>0</v>
      </c>
      <c r="O85" s="794">
        <v>0</v>
      </c>
      <c r="P85" s="795">
        <v>0</v>
      </c>
      <c r="Q85" s="71"/>
      <c r="R85" s="146"/>
      <c r="S85" s="71"/>
      <c r="T85" s="156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</row>
    <row r="86" spans="1:31" ht="15.75" thickBot="1">
      <c r="A86" s="71"/>
      <c r="B86" s="780" t="s">
        <v>856</v>
      </c>
      <c r="C86" s="186" t="s">
        <v>1088</v>
      </c>
      <c r="D86" s="781">
        <f>D85-D84</f>
        <v>0</v>
      </c>
      <c r="E86" s="376"/>
      <c r="F86" s="379">
        <f t="shared" ref="F86:P86" si="20">F85-F84</f>
        <v>0</v>
      </c>
      <c r="G86" s="379">
        <f t="shared" si="20"/>
        <v>0</v>
      </c>
      <c r="H86" s="379">
        <f t="shared" si="20"/>
        <v>0</v>
      </c>
      <c r="I86" s="379">
        <f t="shared" si="20"/>
        <v>0</v>
      </c>
      <c r="J86" s="379">
        <f t="shared" si="20"/>
        <v>0</v>
      </c>
      <c r="K86" s="379">
        <f t="shared" si="20"/>
        <v>0</v>
      </c>
      <c r="L86" s="379">
        <f t="shared" si="20"/>
        <v>0</v>
      </c>
      <c r="M86" s="379">
        <f t="shared" si="20"/>
        <v>0</v>
      </c>
      <c r="N86" s="379">
        <f t="shared" si="20"/>
        <v>0</v>
      </c>
      <c r="O86" s="379">
        <f t="shared" si="20"/>
        <v>0</v>
      </c>
      <c r="P86" s="782">
        <f t="shared" si="20"/>
        <v>0</v>
      </c>
      <c r="Q86" s="71"/>
      <c r="R86" s="146"/>
      <c r="S86" s="71"/>
      <c r="T86" s="156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</row>
    <row r="87" spans="1:31">
      <c r="A87" s="71"/>
      <c r="B87" s="164"/>
      <c r="C87" s="112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156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</row>
    <row r="88" spans="1:31">
      <c r="A88" s="146"/>
      <c r="B88" s="173"/>
      <c r="C88" s="236"/>
      <c r="D88" s="146"/>
      <c r="E88" s="71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71"/>
      <c r="R88" s="146"/>
      <c r="S88" s="71"/>
      <c r="T88" s="156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146"/>
    </row>
    <row r="89" spans="1:31" s="13" customFormat="1" ht="15.75">
      <c r="A89" s="956" t="s">
        <v>709</v>
      </c>
      <c r="B89" s="957"/>
      <c r="C89" s="957"/>
      <c r="D89" s="960"/>
      <c r="E89" s="123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3"/>
      <c r="R89" s="129"/>
      <c r="S89" s="123"/>
      <c r="T89" s="156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129"/>
    </row>
    <row r="90" spans="1:31">
      <c r="A90" s="146"/>
      <c r="B90" s="173"/>
      <c r="C90" s="236"/>
      <c r="D90" s="146"/>
      <c r="E90" s="71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71"/>
      <c r="R90" s="146"/>
      <c r="S90" s="71"/>
      <c r="T90" s="156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146"/>
    </row>
    <row r="91" spans="1:31">
      <c r="A91" s="146"/>
      <c r="B91" s="178" t="s">
        <v>140</v>
      </c>
      <c r="C91" s="238" t="s">
        <v>138</v>
      </c>
      <c r="D91" s="241" t="s">
        <v>134</v>
      </c>
      <c r="E91" s="71"/>
      <c r="F91" s="223">
        <f>SUM(F92:F93)</f>
        <v>23</v>
      </c>
      <c r="G91" s="223">
        <f t="shared" ref="G91:P91" si="21">SUM(G92:G93)</f>
        <v>23</v>
      </c>
      <c r="H91" s="223">
        <f t="shared" si="21"/>
        <v>23</v>
      </c>
      <c r="I91" s="223">
        <f t="shared" si="21"/>
        <v>23</v>
      </c>
      <c r="J91" s="223">
        <f t="shared" si="21"/>
        <v>23</v>
      </c>
      <c r="K91" s="223">
        <f t="shared" si="21"/>
        <v>23</v>
      </c>
      <c r="L91" s="223">
        <f t="shared" si="21"/>
        <v>23</v>
      </c>
      <c r="M91" s="223">
        <f t="shared" si="21"/>
        <v>23</v>
      </c>
      <c r="N91" s="223">
        <f t="shared" si="21"/>
        <v>23</v>
      </c>
      <c r="O91" s="223">
        <f t="shared" si="21"/>
        <v>23</v>
      </c>
      <c r="P91" s="223">
        <f t="shared" si="21"/>
        <v>23</v>
      </c>
      <c r="Q91" s="71"/>
      <c r="R91" s="146"/>
      <c r="S91" s="71"/>
      <c r="T91" s="156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146"/>
    </row>
    <row r="92" spans="1:31" ht="30">
      <c r="A92" s="146"/>
      <c r="B92" s="173" t="s">
        <v>139</v>
      </c>
      <c r="C92" s="238" t="s">
        <v>138</v>
      </c>
      <c r="D92" s="241" t="s">
        <v>134</v>
      </c>
      <c r="E92" s="71"/>
      <c r="F92" s="971">
        <v>11</v>
      </c>
      <c r="G92" s="226">
        <f>F92</f>
        <v>11</v>
      </c>
      <c r="H92" s="226">
        <f t="shared" ref="H92:P93" si="22">G92</f>
        <v>11</v>
      </c>
      <c r="I92" s="226">
        <f t="shared" si="22"/>
        <v>11</v>
      </c>
      <c r="J92" s="226">
        <f t="shared" si="22"/>
        <v>11</v>
      </c>
      <c r="K92" s="226">
        <f t="shared" si="22"/>
        <v>11</v>
      </c>
      <c r="L92" s="226">
        <f t="shared" si="22"/>
        <v>11</v>
      </c>
      <c r="M92" s="226">
        <f t="shared" si="22"/>
        <v>11</v>
      </c>
      <c r="N92" s="226">
        <f t="shared" si="22"/>
        <v>11</v>
      </c>
      <c r="O92" s="226">
        <f t="shared" si="22"/>
        <v>11</v>
      </c>
      <c r="P92" s="226">
        <f t="shared" si="22"/>
        <v>11</v>
      </c>
      <c r="Q92" s="71"/>
      <c r="R92" s="146"/>
      <c r="S92" s="71"/>
      <c r="T92" s="156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146"/>
    </row>
    <row r="93" spans="1:31" ht="30">
      <c r="A93" s="146"/>
      <c r="B93" s="173" t="s">
        <v>149</v>
      </c>
      <c r="C93" s="238" t="s">
        <v>138</v>
      </c>
      <c r="D93" s="241" t="s">
        <v>134</v>
      </c>
      <c r="E93" s="71"/>
      <c r="F93" s="753">
        <v>12</v>
      </c>
      <c r="G93" s="149">
        <f>F93</f>
        <v>12</v>
      </c>
      <c r="H93" s="149">
        <f t="shared" si="22"/>
        <v>12</v>
      </c>
      <c r="I93" s="149">
        <f t="shared" si="22"/>
        <v>12</v>
      </c>
      <c r="J93" s="149">
        <f t="shared" si="22"/>
        <v>12</v>
      </c>
      <c r="K93" s="149">
        <f t="shared" si="22"/>
        <v>12</v>
      </c>
      <c r="L93" s="149">
        <f t="shared" si="22"/>
        <v>12</v>
      </c>
      <c r="M93" s="149">
        <f t="shared" si="22"/>
        <v>12</v>
      </c>
      <c r="N93" s="149">
        <f t="shared" si="22"/>
        <v>12</v>
      </c>
      <c r="O93" s="149">
        <f t="shared" si="22"/>
        <v>12</v>
      </c>
      <c r="P93" s="149">
        <f t="shared" si="22"/>
        <v>12</v>
      </c>
      <c r="Q93" s="71"/>
      <c r="R93" s="146"/>
      <c r="S93" s="71"/>
      <c r="T93" s="156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146"/>
    </row>
    <row r="94" spans="1:31" ht="45">
      <c r="A94" s="146"/>
      <c r="B94" s="234" t="s">
        <v>531</v>
      </c>
      <c r="C94" s="238" t="s">
        <v>138</v>
      </c>
      <c r="D94" s="241"/>
      <c r="E94" s="71"/>
      <c r="F94" s="228">
        <f>F95</f>
        <v>12</v>
      </c>
      <c r="G94" s="228">
        <f>F94+G95</f>
        <v>12</v>
      </c>
      <c r="H94" s="228">
        <f t="shared" ref="H94:K94" si="23">G94+H95</f>
        <v>12</v>
      </c>
      <c r="I94" s="228">
        <f t="shared" si="23"/>
        <v>12</v>
      </c>
      <c r="J94" s="228">
        <f t="shared" si="23"/>
        <v>12</v>
      </c>
      <c r="K94" s="228">
        <f t="shared" si="23"/>
        <v>12</v>
      </c>
      <c r="L94" s="228">
        <f>L92+L93</f>
        <v>23</v>
      </c>
      <c r="M94" s="228">
        <f>M92+M93</f>
        <v>23</v>
      </c>
      <c r="N94" s="228">
        <f>N92+N93</f>
        <v>23</v>
      </c>
      <c r="O94" s="228">
        <f>O92+O93</f>
        <v>23</v>
      </c>
      <c r="P94" s="228">
        <f>P92+P93</f>
        <v>23</v>
      </c>
      <c r="Q94" s="71"/>
      <c r="R94" s="146"/>
      <c r="S94" s="71"/>
      <c r="T94" s="156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146"/>
    </row>
    <row r="95" spans="1:31" ht="45">
      <c r="A95" s="146"/>
      <c r="B95" s="234" t="s">
        <v>532</v>
      </c>
      <c r="C95" s="238" t="s">
        <v>138</v>
      </c>
      <c r="D95" s="241"/>
      <c r="E95" s="71"/>
      <c r="F95" s="228">
        <f>F93</f>
        <v>12</v>
      </c>
      <c r="G95" s="228">
        <f>G91-F91</f>
        <v>0</v>
      </c>
      <c r="H95" s="228">
        <f t="shared" ref="H95:M95" si="24">H91-G91</f>
        <v>0</v>
      </c>
      <c r="I95" s="228">
        <f t="shared" si="24"/>
        <v>0</v>
      </c>
      <c r="J95" s="228">
        <f t="shared" si="24"/>
        <v>0</v>
      </c>
      <c r="K95" s="228">
        <f t="shared" si="24"/>
        <v>0</v>
      </c>
      <c r="L95" s="228">
        <f>L91</f>
        <v>23</v>
      </c>
      <c r="M95" s="228">
        <f t="shared" si="24"/>
        <v>0</v>
      </c>
      <c r="N95" s="228">
        <f>N91-M91</f>
        <v>0</v>
      </c>
      <c r="O95" s="228">
        <f>O91-N91</f>
        <v>0</v>
      </c>
      <c r="P95" s="228">
        <f>P91-O91</f>
        <v>0</v>
      </c>
      <c r="Q95" s="71"/>
      <c r="R95" s="146"/>
      <c r="S95" s="71"/>
      <c r="T95" s="156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146"/>
    </row>
    <row r="96" spans="1:31">
      <c r="A96" s="146"/>
      <c r="B96" s="173"/>
      <c r="C96" s="238"/>
      <c r="D96" s="242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146"/>
      <c r="S96" s="71"/>
      <c r="T96" s="156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146"/>
    </row>
    <row r="97" spans="1:31" ht="15.75" thickBot="1">
      <c r="A97" s="132"/>
      <c r="B97" s="174"/>
      <c r="C97" s="187"/>
      <c r="D97" s="132"/>
      <c r="E97" s="71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71"/>
      <c r="R97" s="132"/>
      <c r="S97" s="71"/>
      <c r="T97" s="156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132"/>
    </row>
    <row r="98" spans="1:31">
      <c r="A98" s="232"/>
      <c r="B98" s="235"/>
      <c r="C98" s="239"/>
      <c r="D98" s="146"/>
      <c r="E98" s="71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71"/>
      <c r="R98" s="146"/>
      <c r="S98" s="71"/>
      <c r="T98" s="156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146"/>
    </row>
  </sheetData>
  <mergeCells count="4">
    <mergeCell ref="A37:D37"/>
    <mergeCell ref="A19:D19"/>
    <mergeCell ref="A5:D5"/>
    <mergeCell ref="A89:D89"/>
  </mergeCells>
  <conditionalFormatting sqref="F41:P41">
    <cfRule type="cellIs" dxfId="11" priority="8" operator="lessThan">
      <formula>0</formula>
    </cfRule>
  </conditionalFormatting>
  <conditionalFormatting sqref="F53:P53">
    <cfRule type="cellIs" dxfId="10" priority="7" operator="lessThan">
      <formula>0</formula>
    </cfRule>
  </conditionalFormatting>
  <conditionalFormatting sqref="D53">
    <cfRule type="cellIs" dxfId="9" priority="6" operator="lessThan">
      <formula>0</formula>
    </cfRule>
  </conditionalFormatting>
  <conditionalFormatting sqref="D65 F65:P65">
    <cfRule type="cellIs" dxfId="8" priority="5" operator="lessThan">
      <formula>0</formula>
    </cfRule>
  </conditionalFormatting>
  <conditionalFormatting sqref="D68 D71">
    <cfRule type="cellIs" dxfId="7" priority="4" operator="lessThan">
      <formula>0</formula>
    </cfRule>
  </conditionalFormatting>
  <conditionalFormatting sqref="D77">
    <cfRule type="cellIs" dxfId="6" priority="3" operator="lessThan">
      <formula>0</formula>
    </cfRule>
  </conditionalFormatting>
  <conditionalFormatting sqref="D74">
    <cfRule type="cellIs" dxfId="5" priority="2" operator="lessThan">
      <formula>0</formula>
    </cfRule>
  </conditionalFormatting>
  <conditionalFormatting sqref="D80">
    <cfRule type="cellIs" dxfId="4" priority="1" operator="lessThan">
      <formula>0</formula>
    </cfRule>
  </conditionalFormatting>
  <hyperlinks>
    <hyperlink ref="A92" location="'Исходные данные'!A10" display="источник"/>
    <hyperlink ref="A93" location="'Исходные данные'!A10" display="источник"/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61" fitToHeight="7" orientation="landscape" r:id="rId1"/>
  <headerFooter>
    <oddFooter>&amp;C&amp;9Страница  &amp;P из &amp;N&amp;R&amp;G</oddFooter>
  </headerFooter>
  <ignoredErrors>
    <ignoredError sqref="D80" formula="1"/>
  </ignoredErrors>
  <drawing r:id="rId2"/>
  <legacyDrawingHF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Исходные!F93:P93</xm:f>
              <xm:sqref>R93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Исходные!F92:P92</xm:f>
              <xm:sqref>R92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Исходные!F55:P55</xm:f>
              <xm:sqref>R55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5" tint="0.79998168889431442"/>
    <outlinePr summaryRight="0"/>
    <pageSetUpPr fitToPage="1"/>
  </sheetPr>
  <dimension ref="A1:AD34"/>
  <sheetViews>
    <sheetView zoomScaleNormal="100" workbookViewId="0">
      <pane xSplit="4" ySplit="4" topLeftCell="E5" activePane="bottomRight" state="frozen"/>
      <selection activeCell="C1" sqref="C1"/>
      <selection pane="topRight" activeCell="C1" sqref="C1"/>
      <selection pane="bottomLeft" activeCell="C1" sqref="C1"/>
      <selection pane="bottomRight" activeCell="B17" sqref="B17"/>
    </sheetView>
  </sheetViews>
  <sheetFormatPr defaultRowHeight="15" outlineLevelCol="1"/>
  <cols>
    <col min="1" max="1" width="11.5703125" customWidth="1"/>
    <col min="2" max="2" width="27.7109375" style="2" customWidth="1"/>
    <col min="3" max="3" width="11" style="5" customWidth="1"/>
    <col min="4" max="4" width="11" customWidth="1"/>
    <col min="5" max="5" width="2.28515625" customWidth="1"/>
    <col min="16" max="16" width="1.710937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25.5">
      <c r="A1" s="651" t="s">
        <v>308</v>
      </c>
      <c r="B1" s="164"/>
      <c r="C1" s="184"/>
      <c r="D1" s="71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155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>
      <c r="A2" s="71" t="str">
        <f>Паспорт_ФМ_резидент!B7</f>
        <v>Разработка, производство, модернизация и реализация …</v>
      </c>
      <c r="B2" s="164"/>
      <c r="C2" s="184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59"/>
      <c r="Q2" s="156"/>
      <c r="R2" s="159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 ht="28.5">
      <c r="A3" s="78" t="s">
        <v>2</v>
      </c>
      <c r="B3" s="92" t="s">
        <v>3</v>
      </c>
      <c r="C3" s="127" t="s">
        <v>12</v>
      </c>
      <c r="D3" s="194" t="str">
        <f>CONCATENATE("Итого ",F3,"-",O3)</f>
        <v>Итого 2025-2034</v>
      </c>
      <c r="E3" s="152"/>
      <c r="F3" s="822"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671"/>
      <c r="Q3" s="157"/>
      <c r="R3" s="160">
        <v>2035</v>
      </c>
      <c r="S3" s="160">
        <f>R3+1</f>
        <v>2036</v>
      </c>
      <c r="T3" s="160">
        <f>S3+1</f>
        <v>2037</v>
      </c>
      <c r="U3" s="160">
        <f t="shared" si="0"/>
        <v>2038</v>
      </c>
      <c r="V3" s="160">
        <f t="shared" si="0"/>
        <v>2039</v>
      </c>
      <c r="W3" s="160">
        <f t="shared" si="0"/>
        <v>2040</v>
      </c>
      <c r="X3" s="160">
        <f t="shared" si="0"/>
        <v>2041</v>
      </c>
      <c r="Y3" s="160">
        <f t="shared" si="0"/>
        <v>2042</v>
      </c>
      <c r="Z3" s="160">
        <f t="shared" si="0"/>
        <v>2043</v>
      </c>
      <c r="AA3" s="160">
        <f t="shared" si="0"/>
        <v>2044</v>
      </c>
      <c r="AB3" s="152"/>
      <c r="AC3" s="152"/>
      <c r="AD3" s="152"/>
    </row>
    <row r="4" spans="1:30" ht="8.1" customHeight="1">
      <c r="A4" s="128"/>
      <c r="B4" s="25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6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71"/>
    </row>
    <row r="5" spans="1:30">
      <c r="A5" s="251" t="s">
        <v>174</v>
      </c>
      <c r="B5" s="92"/>
      <c r="C5" s="78"/>
      <c r="D5" s="78"/>
      <c r="E5" s="71"/>
      <c r="F5" s="78"/>
      <c r="G5" s="78"/>
      <c r="H5" s="78"/>
      <c r="I5" s="78"/>
      <c r="J5" s="78"/>
      <c r="K5" s="78"/>
      <c r="L5" s="78"/>
      <c r="M5" s="78"/>
      <c r="N5" s="78"/>
      <c r="O5" s="78"/>
      <c r="P5" s="633"/>
      <c r="Q5" s="156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71"/>
      <c r="AC5" s="71"/>
      <c r="AD5" s="71"/>
    </row>
    <row r="6" spans="1:30" ht="43.5">
      <c r="A6" s="252" t="s">
        <v>178</v>
      </c>
      <c r="B6" s="178" t="e">
        <f ca="1">CONCATENATE("DCF накопленным итогом при ставке дисконтирования ",ROUND(D11*100,2),"%")</f>
        <v>#DIV/0!</v>
      </c>
      <c r="C6" s="264" t="s">
        <v>19</v>
      </c>
      <c r="D6" s="268" t="e">
        <f ca="1">XNPV(D11,F32:O32,F29:O29)</f>
        <v>#DIV/0!</v>
      </c>
      <c r="E6" s="71"/>
      <c r="F6" s="244" t="e">
        <f ca="1">XNPV($D$11,$F$32:F32,$F$29:F29)</f>
        <v>#DIV/0!</v>
      </c>
      <c r="G6" s="244" t="e">
        <f ca="1">XNPV($D$11,$F$32:G32,$F$29:G29)</f>
        <v>#DIV/0!</v>
      </c>
      <c r="H6" s="244" t="e">
        <f ca="1">XNPV($D$11,$F$32:H32,$F$29:H29)</f>
        <v>#DIV/0!</v>
      </c>
      <c r="I6" s="244" t="e">
        <f ca="1">XNPV($D$11,$F$32:I32,$F$29:I29)</f>
        <v>#DIV/0!</v>
      </c>
      <c r="J6" s="244" t="e">
        <f ca="1">XNPV($D$11,$F$32:J32,$F$29:J29)</f>
        <v>#DIV/0!</v>
      </c>
      <c r="K6" s="244" t="e">
        <f ca="1">XNPV($D$11,$F$32:K32,$F$29:K29)</f>
        <v>#DIV/0!</v>
      </c>
      <c r="L6" s="244" t="e">
        <f ca="1">XNPV($D$11,$F$32:L32,$F$29:L29)</f>
        <v>#DIV/0!</v>
      </c>
      <c r="M6" s="244" t="e">
        <f ca="1">XNPV($D$11,$F$32:M32,$F$29:M29)</f>
        <v>#DIV/0!</v>
      </c>
      <c r="N6" s="244" t="e">
        <f ca="1">XNPV($D$11,$F$32:N32,$F$29:N29)</f>
        <v>#DIV/0!</v>
      </c>
      <c r="O6" s="244" t="e">
        <f ca="1">XNPV($D$11,$F$32:O32,$F$29:O29)</f>
        <v>#DIV/0!</v>
      </c>
      <c r="P6" s="349"/>
      <c r="Q6" s="156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71"/>
      <c r="AC6" s="71"/>
      <c r="AD6" s="71"/>
    </row>
    <row r="7" spans="1:30">
      <c r="A7" s="253"/>
      <c r="B7" s="178" t="s">
        <v>669</v>
      </c>
      <c r="C7" s="265" t="s">
        <v>131</v>
      </c>
      <c r="D7" s="269">
        <f ca="1">SUM(F7:O7)+1</f>
        <v>1</v>
      </c>
      <c r="E7" s="71"/>
      <c r="F7" s="17">
        <f t="shared" ref="F7:O7" ca="1" si="2">IF(F33&lt;0,1,0)</f>
        <v>0</v>
      </c>
      <c r="G7" s="17">
        <f t="shared" ca="1" si="2"/>
        <v>0</v>
      </c>
      <c r="H7" s="17">
        <f t="shared" ca="1" si="2"/>
        <v>0</v>
      </c>
      <c r="I7" s="17">
        <f t="shared" ca="1" si="2"/>
        <v>0</v>
      </c>
      <c r="J7" s="17">
        <f t="shared" ca="1" si="2"/>
        <v>0</v>
      </c>
      <c r="K7" s="17">
        <f t="shared" ca="1" si="2"/>
        <v>0</v>
      </c>
      <c r="L7" s="17">
        <f t="shared" ca="1" si="2"/>
        <v>0</v>
      </c>
      <c r="M7" s="17">
        <f t="shared" ca="1" si="2"/>
        <v>0</v>
      </c>
      <c r="N7" s="17">
        <f t="shared" ca="1" si="2"/>
        <v>0</v>
      </c>
      <c r="O7" s="17">
        <f t="shared" ca="1" si="2"/>
        <v>0</v>
      </c>
      <c r="P7" s="17"/>
      <c r="Q7" s="156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71"/>
      <c r="AC7" s="71"/>
      <c r="AD7" s="71"/>
    </row>
    <row r="8" spans="1:30" ht="29.25">
      <c r="A8" s="253"/>
      <c r="B8" s="178" t="s">
        <v>670</v>
      </c>
      <c r="C8" s="265" t="s">
        <v>131</v>
      </c>
      <c r="D8" s="269" t="e">
        <f ca="1">SUM(F8:O8)+1</f>
        <v>#DIV/0!</v>
      </c>
      <c r="E8" s="71"/>
      <c r="F8" s="17" t="e">
        <f t="shared" ref="F8:O8" ca="1" si="3">IF(F6&lt;0,1,0)</f>
        <v>#DIV/0!</v>
      </c>
      <c r="G8" s="17" t="e">
        <f t="shared" ca="1" si="3"/>
        <v>#DIV/0!</v>
      </c>
      <c r="H8" s="17" t="e">
        <f t="shared" ca="1" si="3"/>
        <v>#DIV/0!</v>
      </c>
      <c r="I8" s="17" t="e">
        <f t="shared" ca="1" si="3"/>
        <v>#DIV/0!</v>
      </c>
      <c r="J8" s="17" t="e">
        <f t="shared" ca="1" si="3"/>
        <v>#DIV/0!</v>
      </c>
      <c r="K8" s="17" t="e">
        <f t="shared" ca="1" si="3"/>
        <v>#DIV/0!</v>
      </c>
      <c r="L8" s="17" t="e">
        <f t="shared" ca="1" si="3"/>
        <v>#DIV/0!</v>
      </c>
      <c r="M8" s="17" t="e">
        <f t="shared" ca="1" si="3"/>
        <v>#DIV/0!</v>
      </c>
      <c r="N8" s="17" t="e">
        <f t="shared" ca="1" si="3"/>
        <v>#DIV/0!</v>
      </c>
      <c r="O8" s="17" t="e">
        <f t="shared" ca="1" si="3"/>
        <v>#DIV/0!</v>
      </c>
      <c r="P8" s="17"/>
      <c r="Q8" s="156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71"/>
      <c r="AC8" s="71"/>
      <c r="AD8" s="71"/>
    </row>
    <row r="9" spans="1:30" ht="43.5">
      <c r="A9" s="252" t="s">
        <v>180</v>
      </c>
      <c r="B9" s="178" t="s">
        <v>671</v>
      </c>
      <c r="C9" s="265" t="s">
        <v>27</v>
      </c>
      <c r="D9" s="270" t="e">
        <f ca="1">XIRR(F32:O32,F29:O29)</f>
        <v>#NUM!</v>
      </c>
      <c r="E9" s="71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633"/>
      <c r="Q9" s="156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71"/>
      <c r="AC9" s="71"/>
      <c r="AD9" s="71"/>
    </row>
    <row r="10" spans="1:30" ht="42.75">
      <c r="A10" s="254"/>
      <c r="B10" s="259" t="e">
        <f ca="1">CONCATENATE("PI - индекс доходности при ставке дисконтирования ",ROUND(D11*100,2),"%")</f>
        <v>#DIV/0!</v>
      </c>
      <c r="C10" s="265" t="s">
        <v>115</v>
      </c>
      <c r="D10" s="271" t="e">
        <f ca="1">D6/-D31</f>
        <v>#DIV/0!</v>
      </c>
      <c r="E10" s="71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633"/>
      <c r="Q10" s="156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71"/>
      <c r="AC10" s="71"/>
      <c r="AD10" s="71"/>
    </row>
    <row r="11" spans="1:30">
      <c r="A11" s="255" t="str">
        <f t="array" aca="1" ref="A11" ca="1">HYPERLINK(CELL("адрес",Макро!B17),"источник")</f>
        <v>источник</v>
      </c>
      <c r="B11" s="259" t="s">
        <v>177</v>
      </c>
      <c r="C11" s="265" t="s">
        <v>27</v>
      </c>
      <c r="D11" s="272" t="e">
        <f ca="1">Макро!$F$17</f>
        <v>#DIV/0!</v>
      </c>
      <c r="E11" s="71"/>
      <c r="F11" s="246" t="s">
        <v>752</v>
      </c>
      <c r="G11" s="245"/>
      <c r="H11" s="245"/>
      <c r="I11" s="245"/>
      <c r="J11" s="245"/>
      <c r="K11" s="245"/>
      <c r="L11" s="245"/>
      <c r="M11" s="245"/>
      <c r="N11" s="245"/>
      <c r="O11" s="245"/>
      <c r="P11" s="633"/>
      <c r="Q11" s="156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71"/>
      <c r="AC11" s="250"/>
      <c r="AD11" s="250"/>
    </row>
    <row r="12" spans="1:30">
      <c r="A12" s="146"/>
      <c r="B12" s="173"/>
      <c r="C12" s="192"/>
      <c r="D12" s="146"/>
      <c r="E12" s="71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349"/>
      <c r="Q12" s="156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>
      <c r="A13" s="146"/>
      <c r="B13" s="173"/>
      <c r="C13" s="192"/>
      <c r="D13" s="146"/>
      <c r="E13" s="71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349"/>
      <c r="Q13" s="156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>
      <c r="A14" s="146"/>
      <c r="B14" s="173"/>
      <c r="C14" s="192"/>
      <c r="D14" s="146"/>
      <c r="E14" s="71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349"/>
      <c r="Q14" s="156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>
      <c r="A15" s="146"/>
      <c r="B15" s="173"/>
      <c r="C15" s="192"/>
      <c r="D15" s="146"/>
      <c r="E15" s="71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349"/>
      <c r="Q15" s="156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>
      <c r="A16" s="146"/>
      <c r="B16" s="173"/>
      <c r="C16" s="192"/>
      <c r="D16" s="146"/>
      <c r="E16" s="71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349"/>
      <c r="Q16" s="156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27">
      <c r="A17" s="146"/>
      <c r="B17" s="173"/>
      <c r="C17" s="192"/>
      <c r="D17" s="146"/>
      <c r="E17" s="71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349"/>
      <c r="Q17" s="156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1:27">
      <c r="A18" s="146"/>
      <c r="B18" s="173"/>
      <c r="C18" s="192"/>
      <c r="D18" s="146"/>
      <c r="E18" s="71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349"/>
      <c r="Q18" s="156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1:27">
      <c r="A19" s="146"/>
      <c r="B19" s="173"/>
      <c r="C19" s="192"/>
      <c r="D19" s="146"/>
      <c r="E19" s="71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349"/>
      <c r="Q19" s="156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1:27">
      <c r="A20" s="146"/>
      <c r="B20" s="173"/>
      <c r="C20" s="192"/>
      <c r="D20" s="146"/>
      <c r="E20" s="71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349"/>
      <c r="Q20" s="156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1:27">
      <c r="A21" s="146"/>
      <c r="B21" s="173"/>
      <c r="C21" s="192"/>
      <c r="D21" s="146"/>
      <c r="E21" s="71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349"/>
      <c r="Q21" s="156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1:27">
      <c r="A22" s="146"/>
      <c r="B22" s="173"/>
      <c r="C22" s="192"/>
      <c r="D22" s="146"/>
      <c r="E22" s="71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349"/>
      <c r="Q22" s="156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1:27">
      <c r="A23" s="146"/>
      <c r="B23" s="173"/>
      <c r="C23" s="192"/>
      <c r="D23" s="146"/>
      <c r="E23" s="71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349"/>
      <c r="Q23" s="156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1:27">
      <c r="A24" s="146"/>
      <c r="B24" s="173"/>
      <c r="C24" s="192"/>
      <c r="D24" s="146"/>
      <c r="E24" s="71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349"/>
      <c r="Q24" s="156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1:27">
      <c r="A25" s="146"/>
      <c r="B25" s="173"/>
      <c r="C25" s="192"/>
      <c r="D25" s="146"/>
      <c r="E25" s="71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349"/>
      <c r="Q25" s="156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1:27" ht="15.75" thickBot="1">
      <c r="A26" s="132"/>
      <c r="B26" s="174"/>
      <c r="C26" s="187"/>
      <c r="D26" s="132"/>
      <c r="E26" s="71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71"/>
      <c r="Q26" s="156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1:27" ht="7.15" customHeight="1">
      <c r="A27" s="146"/>
      <c r="B27" s="173"/>
      <c r="C27" s="146"/>
      <c r="D27" s="146"/>
      <c r="E27" s="71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9" spans="1:27" s="16" customFormat="1" ht="24">
      <c r="A29" s="256"/>
      <c r="B29" s="260" t="s">
        <v>753</v>
      </c>
      <c r="C29" s="266"/>
      <c r="D29" s="256"/>
      <c r="E29" s="243"/>
      <c r="F29" s="247">
        <v>46022</v>
      </c>
      <c r="G29" s="247">
        <v>46387</v>
      </c>
      <c r="H29" s="247">
        <v>46752</v>
      </c>
      <c r="I29" s="247">
        <v>47118</v>
      </c>
      <c r="J29" s="247">
        <v>47483</v>
      </c>
      <c r="K29" s="247">
        <v>47848</v>
      </c>
      <c r="L29" s="247">
        <v>48213</v>
      </c>
      <c r="M29" s="247">
        <v>48579</v>
      </c>
      <c r="N29" s="247">
        <v>48944</v>
      </c>
      <c r="O29" s="247">
        <v>49309</v>
      </c>
      <c r="P29" s="672"/>
      <c r="Q29" s="156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ht="30">
      <c r="A30" s="257" t="str">
        <f t="array" aca="1" ref="A30" ca="1">HYPERLINK(CELL("адрес",БДДС!A28),"источник")</f>
        <v>источник</v>
      </c>
      <c r="B30" s="261" t="s">
        <v>876</v>
      </c>
      <c r="C30" s="267" t="s">
        <v>19</v>
      </c>
      <c r="D30" s="273">
        <f ca="1">SUM(F30:O30)</f>
        <v>154995.58420376919</v>
      </c>
      <c r="E30" s="243"/>
      <c r="F30" s="248">
        <f ca="1">БДДС!F28</f>
        <v>2472.3559999999998</v>
      </c>
      <c r="G30" s="248">
        <f ca="1">БДДС!G28</f>
        <v>5893.2479360000143</v>
      </c>
      <c r="H30" s="248">
        <f ca="1">БДДС!H28</f>
        <v>10601.295420416049</v>
      </c>
      <c r="I30" s="248">
        <f ca="1">БДДС!I28</f>
        <v>16734.533787959343</v>
      </c>
      <c r="J30" s="248">
        <f ca="1">БДДС!J28</f>
        <v>19996.131644245033</v>
      </c>
      <c r="K30" s="248">
        <f ca="1">БДДС!K28</f>
        <v>20012.551216873166</v>
      </c>
      <c r="L30" s="248">
        <f ca="1">БДДС!L28</f>
        <v>19985.755733590486</v>
      </c>
      <c r="M30" s="248">
        <f ca="1">БДДС!M28</f>
        <v>19911.559769186861</v>
      </c>
      <c r="N30" s="248">
        <f ca="1">БДДС!N28</f>
        <v>19785.472899357206</v>
      </c>
      <c r="O30" s="248">
        <f ca="1">БДДС!O28</f>
        <v>19602.679796141019</v>
      </c>
      <c r="P30" s="673"/>
      <c r="Q30" s="156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ht="30">
      <c r="A31" s="257" t="str">
        <f t="array" aca="1" ref="A31" ca="1">HYPERLINK(CELL("адрес",БДДС!A39),"источник")</f>
        <v>источник</v>
      </c>
      <c r="B31" s="261" t="s">
        <v>877</v>
      </c>
      <c r="C31" s="267" t="s">
        <v>19</v>
      </c>
      <c r="D31" s="273">
        <f>SUM(F31:O31)</f>
        <v>0</v>
      </c>
      <c r="E31" s="243"/>
      <c r="F31" s="248">
        <f>БДДС!F39</f>
        <v>0</v>
      </c>
      <c r="G31" s="248">
        <f>БДДС!G39</f>
        <v>0</v>
      </c>
      <c r="H31" s="248">
        <f>БДДС!H39</f>
        <v>0</v>
      </c>
      <c r="I31" s="248">
        <f>БДДС!I39</f>
        <v>0</v>
      </c>
      <c r="J31" s="248">
        <f>БДДС!J39</f>
        <v>0</v>
      </c>
      <c r="K31" s="248">
        <f>БДДС!K39</f>
        <v>0</v>
      </c>
      <c r="L31" s="248">
        <f>БДДС!L39</f>
        <v>0</v>
      </c>
      <c r="M31" s="248">
        <f>БДДС!M39</f>
        <v>0</v>
      </c>
      <c r="N31" s="248">
        <f>БДДС!N39</f>
        <v>0</v>
      </c>
      <c r="O31" s="248">
        <f>БДДС!O39</f>
        <v>0</v>
      </c>
      <c r="P31" s="673"/>
      <c r="Q31" s="156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ht="28.5">
      <c r="A32" s="256"/>
      <c r="B32" s="262" t="s">
        <v>858</v>
      </c>
      <c r="C32" s="267" t="s">
        <v>19</v>
      </c>
      <c r="D32" s="249">
        <f ca="1">SUM(D30:D31)</f>
        <v>154995.58420376919</v>
      </c>
      <c r="E32" s="243"/>
      <c r="F32" s="249">
        <f ca="1">SUM(F30:F31)</f>
        <v>2472.3559999999998</v>
      </c>
      <c r="G32" s="249">
        <f t="shared" ref="G32:O32" ca="1" si="4">SUM(G30:G31)</f>
        <v>5893.2479360000143</v>
      </c>
      <c r="H32" s="249">
        <f t="shared" ca="1" si="4"/>
        <v>10601.295420416049</v>
      </c>
      <c r="I32" s="249">
        <f t="shared" ca="1" si="4"/>
        <v>16734.533787959343</v>
      </c>
      <c r="J32" s="249">
        <f t="shared" ca="1" si="4"/>
        <v>19996.131644245033</v>
      </c>
      <c r="K32" s="249">
        <f t="shared" ca="1" si="4"/>
        <v>20012.551216873166</v>
      </c>
      <c r="L32" s="249">
        <f t="shared" ca="1" si="4"/>
        <v>19985.755733590486</v>
      </c>
      <c r="M32" s="249">
        <f t="shared" ca="1" si="4"/>
        <v>19911.559769186861</v>
      </c>
      <c r="N32" s="249">
        <f t="shared" ca="1" si="4"/>
        <v>19785.472899357206</v>
      </c>
      <c r="O32" s="249">
        <f t="shared" ca="1" si="4"/>
        <v>19602.679796141019</v>
      </c>
      <c r="P32" s="674"/>
      <c r="Q32" s="156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17" ht="30">
      <c r="A33" s="256"/>
      <c r="B33" s="263" t="s">
        <v>859</v>
      </c>
      <c r="C33" s="267" t="s">
        <v>19</v>
      </c>
      <c r="D33" s="256"/>
      <c r="E33" s="243"/>
      <c r="F33" s="248">
        <f ca="1">F32</f>
        <v>2472.3559999999998</v>
      </c>
      <c r="G33" s="248">
        <f t="shared" ref="G33:O33" ca="1" si="5">F33+G32</f>
        <v>8365.6039360000141</v>
      </c>
      <c r="H33" s="248">
        <f t="shared" ca="1" si="5"/>
        <v>18966.899356416063</v>
      </c>
      <c r="I33" s="248">
        <f t="shared" ca="1" si="5"/>
        <v>35701.433144375405</v>
      </c>
      <c r="J33" s="248">
        <f t="shared" ca="1" si="5"/>
        <v>55697.564788620439</v>
      </c>
      <c r="K33" s="248">
        <f t="shared" ca="1" si="5"/>
        <v>75710.116005493604</v>
      </c>
      <c r="L33" s="248">
        <f t="shared" ca="1" si="5"/>
        <v>95695.87173908409</v>
      </c>
      <c r="M33" s="248">
        <f t="shared" ca="1" si="5"/>
        <v>115607.43150827095</v>
      </c>
      <c r="N33" s="248">
        <f t="shared" ca="1" si="5"/>
        <v>135392.90440762817</v>
      </c>
      <c r="O33" s="248">
        <f t="shared" ca="1" si="5"/>
        <v>154995.58420376919</v>
      </c>
      <c r="P33" s="673"/>
      <c r="Q33" s="156"/>
    </row>
    <row r="34" spans="1:17">
      <c r="A34" s="146"/>
      <c r="B34" s="146"/>
      <c r="C34" s="146"/>
      <c r="D34" s="146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156"/>
    </row>
  </sheetData>
  <hyperlinks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86" fitToHeight="2" orientation="landscape" r:id="rId1"/>
  <headerFooter>
    <oddFooter>&amp;C&amp;9Страница  &amp;P из &amp;N&amp;R&amp;G</oddFooter>
  </headerFooter>
  <ignoredErrors>
    <ignoredError sqref="G6:N6" formulaRange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theme="5" tint="0.79998168889431442"/>
    <pageSetUpPr fitToPage="1"/>
  </sheetPr>
  <dimension ref="A1:R117"/>
  <sheetViews>
    <sheetView zoomScale="115" zoomScaleNormal="115" workbookViewId="0">
      <pane xSplit="1" ySplit="1" topLeftCell="B2" activePane="bottomRight" state="frozen"/>
      <selection activeCell="C1" sqref="C1"/>
      <selection pane="topRight" activeCell="C1" sqref="C1"/>
      <selection pane="bottomLeft" activeCell="C1" sqref="C1"/>
      <selection pane="bottomRight" activeCell="C11" sqref="C11"/>
    </sheetView>
  </sheetViews>
  <sheetFormatPr defaultColWidth="9.140625" defaultRowHeight="15"/>
  <cols>
    <col min="1" max="1" width="5.42578125" style="26" customWidth="1"/>
    <col min="2" max="2" width="36.85546875" style="26" customWidth="1"/>
    <col min="3" max="3" width="12.28515625" style="26" customWidth="1"/>
    <col min="4" max="4" width="10.28515625" style="26" customWidth="1"/>
    <col min="5" max="5" width="13.5703125" style="26" customWidth="1"/>
    <col min="6" max="13" width="8.5703125" style="26" customWidth="1"/>
    <col min="14" max="14" width="2.5703125" style="26" customWidth="1"/>
    <col min="15" max="15" width="2.28515625" style="26" customWidth="1"/>
    <col min="16" max="16" width="12.85546875" style="27" customWidth="1"/>
    <col min="17" max="17" width="9.140625" style="27"/>
    <col min="18" max="16384" width="9.140625" style="26"/>
  </cols>
  <sheetData>
    <row r="1" spans="1:18" ht="30.4" customHeight="1">
      <c r="A1" s="651" t="s">
        <v>744</v>
      </c>
      <c r="B1" s="276"/>
      <c r="C1" s="291"/>
      <c r="D1" s="291"/>
      <c r="E1" s="291"/>
      <c r="F1" s="291"/>
      <c r="G1" s="276"/>
      <c r="H1" s="276"/>
      <c r="I1" s="276"/>
      <c r="J1" s="276"/>
      <c r="K1" s="276"/>
      <c r="L1" s="276"/>
      <c r="M1" s="276"/>
      <c r="N1" s="276"/>
      <c r="O1" s="302"/>
      <c r="P1" s="304" t="s">
        <v>567</v>
      </c>
      <c r="Q1" s="305"/>
      <c r="R1" s="276"/>
    </row>
    <row r="2" spans="1:18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302"/>
      <c r="P2" s="305"/>
      <c r="Q2" s="305"/>
      <c r="R2" s="276"/>
    </row>
    <row r="3" spans="1:18">
      <c r="A3" s="276"/>
      <c r="B3" s="309" t="str">
        <f>Паспорт_ФМ_резидент!B7</f>
        <v>Разработка, производство, модернизация и реализация …</v>
      </c>
      <c r="C3" s="276"/>
      <c r="D3" s="276"/>
      <c r="E3" s="276"/>
      <c r="F3" s="276"/>
      <c r="G3" s="276"/>
      <c r="H3" s="294"/>
      <c r="I3" s="294"/>
      <c r="J3" s="294"/>
      <c r="K3" s="294"/>
      <c r="L3" s="294"/>
      <c r="M3" s="276"/>
      <c r="N3" s="276"/>
      <c r="O3" s="302"/>
      <c r="P3" s="306" t="str">
        <f t="array" aca="1" ref="P3" ca="1">HYPERLINK(CELL("адрес",Паспорт_ФМ_резидент!B7),"перейти")</f>
        <v>перейти</v>
      </c>
      <c r="Q3" s="305"/>
      <c r="R3" s="276"/>
    </row>
    <row r="4" spans="1:18">
      <c r="A4" s="858"/>
      <c r="B4" s="858" t="s">
        <v>503</v>
      </c>
      <c r="C4" s="859" t="s">
        <v>486</v>
      </c>
      <c r="D4" s="859" t="s">
        <v>487</v>
      </c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302"/>
      <c r="P4" s="307" t="s">
        <v>486</v>
      </c>
      <c r="Q4" s="307" t="s">
        <v>487</v>
      </c>
      <c r="R4" s="276"/>
    </row>
    <row r="5" spans="1:18">
      <c r="A5" s="838" t="s">
        <v>1145</v>
      </c>
      <c r="B5" s="840" t="s">
        <v>568</v>
      </c>
      <c r="C5" s="860">
        <f>ROUND(Инвестиции!$D$9/1000,0)</f>
        <v>0</v>
      </c>
      <c r="D5" s="860">
        <f>ROUND(Инвестиции!$D$7/1000,0)</f>
        <v>0</v>
      </c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302"/>
      <c r="P5" s="306" t="str">
        <f t="array" aca="1" ref="P5" ca="1">HYPERLINK(CELL("адрес",Инвестиции!B9),"перейти")</f>
        <v>перейти</v>
      </c>
      <c r="Q5" s="306" t="str">
        <f t="array" aca="1" ref="Q5" ca="1">HYPERLINK(CELL("адрес",Инвестиции!B7),"перейти")</f>
        <v>перейти</v>
      </c>
      <c r="R5" s="276"/>
    </row>
    <row r="6" spans="1:18" ht="25.5">
      <c r="A6" s="838" t="s">
        <v>1146</v>
      </c>
      <c r="B6" s="840" t="s">
        <v>488</v>
      </c>
      <c r="C6" s="888" t="s">
        <v>1128</v>
      </c>
      <c r="D6" s="860" t="s">
        <v>489</v>
      </c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302"/>
      <c r="P6" s="305"/>
      <c r="Q6" s="305"/>
      <c r="R6" s="276"/>
    </row>
    <row r="7" spans="1:18" hidden="1">
      <c r="A7" s="838" t="s">
        <v>1147</v>
      </c>
      <c r="B7" s="840" t="s">
        <v>490</v>
      </c>
      <c r="C7" s="888" t="s">
        <v>491</v>
      </c>
      <c r="D7" s="860" t="s">
        <v>492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302"/>
      <c r="P7" s="305"/>
      <c r="Q7" s="305"/>
      <c r="R7" s="276"/>
    </row>
    <row r="8" spans="1:18" hidden="1">
      <c r="A8" s="838" t="s">
        <v>1148</v>
      </c>
      <c r="B8" s="840" t="s">
        <v>493</v>
      </c>
      <c r="C8" s="889"/>
      <c r="D8" s="860" t="s">
        <v>489</v>
      </c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302"/>
      <c r="P8" s="305"/>
      <c r="Q8" s="305"/>
      <c r="R8" s="276"/>
    </row>
    <row r="9" spans="1:18" ht="25.5">
      <c r="A9" s="838" t="s">
        <v>1149</v>
      </c>
      <c r="B9" s="840" t="s">
        <v>494</v>
      </c>
      <c r="C9" s="888">
        <v>0</v>
      </c>
      <c r="D9" s="860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302"/>
      <c r="P9" s="305"/>
      <c r="Q9" s="305"/>
      <c r="R9" s="276"/>
    </row>
    <row r="10" spans="1:18">
      <c r="A10" s="838" t="s">
        <v>1150</v>
      </c>
      <c r="B10" s="840" t="s">
        <v>177</v>
      </c>
      <c r="C10" s="861" t="e">
        <f ca="1">КПЭ!D11</f>
        <v>#DIV/0!</v>
      </c>
      <c r="D10" s="860" t="s">
        <v>27</v>
      </c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302"/>
      <c r="P10" s="306" t="str">
        <f t="array" aca="1" ref="P10" ca="1">HYPERLINK(CELL("адрес",КПЭ!D11),"перейти")</f>
        <v>перейти</v>
      </c>
      <c r="Q10" s="305"/>
      <c r="R10" s="276"/>
    </row>
    <row r="11" spans="1:18">
      <c r="A11" s="838" t="s">
        <v>1151</v>
      </c>
      <c r="B11" s="840" t="s">
        <v>1140</v>
      </c>
      <c r="C11" s="891">
        <f>M50</f>
        <v>0</v>
      </c>
      <c r="D11" s="892" t="s">
        <v>134</v>
      </c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302"/>
      <c r="P11" s="306" t="s">
        <v>569</v>
      </c>
      <c r="Q11" s="305"/>
      <c r="R11" s="276"/>
    </row>
    <row r="12" spans="1:18" ht="25.5">
      <c r="A12" s="838" t="s">
        <v>1152</v>
      </c>
      <c r="B12" s="840" t="s">
        <v>1141</v>
      </c>
      <c r="C12" s="964">
        <f>C13+C14</f>
        <v>20</v>
      </c>
      <c r="D12" s="964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302"/>
      <c r="P12" s="306" t="s">
        <v>569</v>
      </c>
      <c r="Q12" s="305"/>
      <c r="R12" s="276"/>
    </row>
    <row r="13" spans="1:18">
      <c r="A13" s="838"/>
      <c r="B13" s="839" t="s">
        <v>1142</v>
      </c>
      <c r="C13" s="964">
        <f>M35</f>
        <v>20</v>
      </c>
      <c r="D13" s="964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302"/>
      <c r="P13" s="306"/>
      <c r="Q13" s="305"/>
      <c r="R13" s="276"/>
    </row>
    <row r="14" spans="1:18" ht="25.5">
      <c r="A14" s="838"/>
      <c r="B14" s="839" t="str">
        <f>B37</f>
        <v xml:space="preserve">    - денежный поток от операционной деятельности</v>
      </c>
      <c r="C14" s="964">
        <v>0</v>
      </c>
      <c r="D14" s="964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302"/>
      <c r="P14" s="306"/>
      <c r="Q14" s="305"/>
      <c r="R14" s="276"/>
    </row>
    <row r="15" spans="1:18">
      <c r="A15" s="838" t="s">
        <v>1153</v>
      </c>
      <c r="B15" s="839" t="s">
        <v>1143</v>
      </c>
      <c r="C15" s="964">
        <f ca="1">M36</f>
        <v>0</v>
      </c>
      <c r="D15" s="964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302"/>
      <c r="P15" s="306" t="s">
        <v>569</v>
      </c>
      <c r="Q15" s="305"/>
      <c r="R15" s="276"/>
    </row>
    <row r="16" spans="1:18" ht="25.5">
      <c r="A16" s="838" t="s">
        <v>1154</v>
      </c>
      <c r="B16" s="839" t="s">
        <v>1144</v>
      </c>
      <c r="C16" s="964">
        <f>M38</f>
        <v>0</v>
      </c>
      <c r="D16" s="964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302"/>
      <c r="P16" s="306"/>
      <c r="Q16" s="305"/>
      <c r="R16" s="276"/>
    </row>
    <row r="17" spans="1:18">
      <c r="A17" s="857"/>
      <c r="B17" s="310"/>
      <c r="C17" s="333"/>
      <c r="D17" s="333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302"/>
      <c r="P17" s="306"/>
      <c r="Q17" s="305"/>
      <c r="R17" s="276"/>
    </row>
    <row r="18" spans="1:18">
      <c r="A18" s="309" t="s">
        <v>1155</v>
      </c>
      <c r="B18" s="311" t="str">
        <f>CONCATENATE("Финансовые показатели проекта, на ", M28," год")</f>
        <v>Финансовые показатели проекта, на Итого год</v>
      </c>
      <c r="C18" s="276"/>
      <c r="D18" s="294"/>
      <c r="E18" s="276"/>
      <c r="F18" s="276"/>
      <c r="G18" s="293" t="s">
        <v>749</v>
      </c>
      <c r="H18" s="276"/>
      <c r="I18" s="276"/>
      <c r="J18" s="276"/>
      <c r="K18" s="276"/>
      <c r="L18" s="276"/>
      <c r="M18" s="276"/>
      <c r="N18" s="276"/>
      <c r="O18" s="302"/>
      <c r="P18" s="305"/>
      <c r="Q18" s="305"/>
      <c r="R18" s="276"/>
    </row>
    <row r="19" spans="1:18" ht="38.25">
      <c r="A19" s="308"/>
      <c r="B19" s="312" t="s">
        <v>512</v>
      </c>
      <c r="C19" s="292" t="s">
        <v>513</v>
      </c>
      <c r="D19" s="292" t="s">
        <v>514</v>
      </c>
      <c r="E19" s="292" t="s">
        <v>692</v>
      </c>
      <c r="F19" s="292" t="s">
        <v>743</v>
      </c>
      <c r="G19" s="276"/>
      <c r="H19" s="276"/>
      <c r="I19" s="276"/>
      <c r="J19" s="276"/>
      <c r="K19" s="276"/>
      <c r="L19" s="276"/>
      <c r="M19" s="276"/>
      <c r="N19" s="276"/>
      <c r="O19" s="302"/>
      <c r="P19" s="307" t="str">
        <f>C19</f>
        <v>Сценарий с льготами ОЭЗ</v>
      </c>
      <c r="Q19" s="307" t="str">
        <f>D19</f>
        <v>Сценарий без льгот ОЭЗ</v>
      </c>
      <c r="R19" s="307" t="str">
        <f>E19</f>
        <v>Чувствительность</v>
      </c>
    </row>
    <row r="20" spans="1:18">
      <c r="A20" s="841" t="s">
        <v>1156</v>
      </c>
      <c r="B20" s="279" t="s">
        <v>867</v>
      </c>
      <c r="C20" s="868" t="e">
        <f ca="1">ROUND(КПЭ!$D$6/1000,2)</f>
        <v>#DIV/0!</v>
      </c>
      <c r="D20" s="868" t="e">
        <f ca="1">ROUND(КПЭбезЛьгот!$D$6/1000,2)</f>
        <v>#DIV/0!</v>
      </c>
      <c r="E20" s="274" t="e">
        <f ca="1">ROUND(Чувствительность!D11/1000,0)</f>
        <v>#DIV/0!</v>
      </c>
      <c r="F20" s="276"/>
      <c r="G20" s="276"/>
      <c r="H20" s="276"/>
      <c r="I20" s="276"/>
      <c r="J20" s="276"/>
      <c r="K20" s="276"/>
      <c r="L20" s="276"/>
      <c r="M20" s="276"/>
      <c r="N20" s="276"/>
      <c r="O20" s="302"/>
      <c r="P20" s="306" t="str">
        <f t="array" aca="1" ref="P20" ca="1">HYPERLINK(CELL("адрес",КПЭ!D6),"перейти")</f>
        <v>перейти</v>
      </c>
      <c r="Q20" s="306" t="str">
        <f t="array" aca="1" ref="Q20" ca="1">HYPERLINK(CELL("адрес",КПЭбезЛьгот!D6),"перейти")</f>
        <v>перейти</v>
      </c>
      <c r="R20" s="306" t="str">
        <f t="array" aca="1" ref="R20" ca="1">HYPERLINK(CELL("адрес",Чувствительность!$D$11),"перейти")</f>
        <v>перейти</v>
      </c>
    </row>
    <row r="21" spans="1:18">
      <c r="A21" s="841" t="s">
        <v>1157</v>
      </c>
      <c r="B21" s="279" t="s">
        <v>515</v>
      </c>
      <c r="C21" s="876" t="e">
        <f ca="1">ROUND(КПЭ!$D$9,3)</f>
        <v>#NUM!</v>
      </c>
      <c r="D21" s="876">
        <f ca="1">ROUND(КПЭбезЛьгот!$D$9,3)</f>
        <v>0.29799999999999999</v>
      </c>
      <c r="E21" s="340">
        <f ca="1">ROUND(Чувствительность!$D$14,3)</f>
        <v>2.589</v>
      </c>
      <c r="F21" s="276"/>
      <c r="G21" s="276"/>
      <c r="H21" s="276"/>
      <c r="I21" s="276"/>
      <c r="J21" s="276"/>
      <c r="K21" s="276"/>
      <c r="L21" s="276"/>
      <c r="M21" s="276"/>
      <c r="N21" s="276"/>
      <c r="O21" s="302"/>
      <c r="P21" s="306" t="str">
        <f t="array" aca="1" ref="P21" ca="1">HYPERLINK(CELL("адрес",КПЭ!D9),"перейти")</f>
        <v>перейти</v>
      </c>
      <c r="Q21" s="306" t="str">
        <f t="array" aca="1" ref="Q21" ca="1">HYPERLINK(CELL("адрес",КПЭбезЛьгот!D9),"перейти")</f>
        <v>перейти</v>
      </c>
      <c r="R21" s="306" t="str">
        <f t="array" aca="1" ref="R21" ca="1">HYPERLINK(CELL("адрес",Чувствительность!$D$14),"перейти")</f>
        <v>перейти</v>
      </c>
    </row>
    <row r="22" spans="1:18">
      <c r="A22" s="841" t="s">
        <v>1158</v>
      </c>
      <c r="B22" s="279" t="s">
        <v>516</v>
      </c>
      <c r="C22" s="334">
        <f ca="1">ROUND(КПЭ!$D$7,1)</f>
        <v>1</v>
      </c>
      <c r="D22" s="334">
        <f ca="1">ROUND(КПЭбезЛьгот!$D$7,1)</f>
        <v>5</v>
      </c>
      <c r="E22" s="274">
        <f ca="1">Чувствительность!D12</f>
        <v>2</v>
      </c>
      <c r="F22" s="276"/>
      <c r="G22" s="276"/>
      <c r="H22" s="276"/>
      <c r="I22" s="276"/>
      <c r="J22" s="276"/>
      <c r="K22" s="276"/>
      <c r="L22" s="276"/>
      <c r="M22" s="276"/>
      <c r="N22" s="276"/>
      <c r="O22" s="302"/>
      <c r="P22" s="306" t="str">
        <f t="array" aca="1" ref="P22" ca="1">HYPERLINK(CELL("адрес",КПЭ!D7),"перейти")</f>
        <v>перейти</v>
      </c>
      <c r="Q22" s="306" t="str">
        <f t="array" aca="1" ref="Q22" ca="1">HYPERLINK(CELL("адрес",КПЭбезЛьгот!D7),"перейти")</f>
        <v>перейти</v>
      </c>
      <c r="R22" s="306" t="str">
        <f t="array" aca="1" ref="R22" ca="1">HYPERLINK(CELL("адрес",Чувствительность!$D$12),"перейти")</f>
        <v>перейти</v>
      </c>
    </row>
    <row r="23" spans="1:18">
      <c r="A23" s="841" t="s">
        <v>1159</v>
      </c>
      <c r="B23" s="279" t="s">
        <v>693</v>
      </c>
      <c r="C23" s="334" t="e">
        <f ca="1">ROUND(КПЭ!$D$8,1)</f>
        <v>#DIV/0!</v>
      </c>
      <c r="D23" s="334" t="e">
        <f ca="1">ROUND(КПЭбезЛьгот!$D$8,1)</f>
        <v>#DIV/0!</v>
      </c>
      <c r="E23" s="274" t="e">
        <f ca="1">Чувствительность!D13</f>
        <v>#DIV/0!</v>
      </c>
      <c r="F23" s="276"/>
      <c r="G23" s="276"/>
      <c r="H23" s="276"/>
      <c r="I23" s="276"/>
      <c r="J23" s="276"/>
      <c r="K23" s="276"/>
      <c r="L23" s="276"/>
      <c r="M23" s="276"/>
      <c r="N23" s="276"/>
      <c r="O23" s="302"/>
      <c r="P23" s="306" t="str">
        <f t="array" aca="1" ref="P23" ca="1">HYPERLINK(CELL("адрес",КПЭ!D8),"перейти")</f>
        <v>перейти</v>
      </c>
      <c r="Q23" s="306" t="str">
        <f t="array" aca="1" ref="Q23" ca="1">HYPERLINK(CELL("адрес",КПЭбезЛьгот!D8),"перейти")</f>
        <v>перейти</v>
      </c>
      <c r="R23" s="306" t="str">
        <f t="array" aca="1" ref="R23" ca="1">HYPERLINK(CELL("адрес",Чувствительность!$D$13),"перейти")</f>
        <v>перейти</v>
      </c>
    </row>
    <row r="24" spans="1:18">
      <c r="A24" s="841" t="s">
        <v>1160</v>
      </c>
      <c r="B24" s="279" t="s">
        <v>517</v>
      </c>
      <c r="C24" s="335" t="e">
        <f ca="1">КПЭ!D10</f>
        <v>#DIV/0!</v>
      </c>
      <c r="D24" s="335" t="e">
        <f ca="1">КПЭбезЛьгот!D10</f>
        <v>#DIV/0!</v>
      </c>
      <c r="E24" s="275" t="e">
        <f ca="1">Чувствительность!D15</f>
        <v>#DIV/0!</v>
      </c>
      <c r="F24" s="276"/>
      <c r="G24" s="276"/>
      <c r="H24" s="276"/>
      <c r="I24" s="276"/>
      <c r="J24" s="276"/>
      <c r="K24" s="276"/>
      <c r="L24" s="276"/>
      <c r="M24" s="276"/>
      <c r="N24" s="276"/>
      <c r="O24" s="302"/>
      <c r="P24" s="306" t="str">
        <f t="array" aca="1" ref="P24" ca="1">HYPERLINK(CELL("адрес",КПЭ!D10),"перейти")</f>
        <v>перейти</v>
      </c>
      <c r="Q24" s="306" t="str">
        <f t="array" aca="1" ref="Q24" ca="1">HYPERLINK(CELL("адрес",КПЭбезЛьгот!D10),"перейти")</f>
        <v>перейти</v>
      </c>
      <c r="R24" s="306" t="str">
        <f t="array" aca="1" ref="R24" ca="1">HYPERLINK(CELL("адрес",Чувствительность!$D$15),"перейти")</f>
        <v>перейти</v>
      </c>
    </row>
    <row r="25" spans="1:18">
      <c r="A25" s="276"/>
      <c r="B25" s="310"/>
      <c r="C25" s="333"/>
      <c r="D25" s="333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302"/>
      <c r="P25" s="306"/>
      <c r="Q25" s="305"/>
      <c r="R25" s="276"/>
    </row>
    <row r="26" spans="1:18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302"/>
      <c r="P26" s="305"/>
      <c r="Q26" s="305"/>
      <c r="R26" s="276"/>
    </row>
    <row r="27" spans="1:18">
      <c r="A27" s="842" t="s">
        <v>1161</v>
      </c>
      <c r="B27" s="313" t="s">
        <v>557</v>
      </c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302"/>
      <c r="P27" s="304" t="s">
        <v>740</v>
      </c>
      <c r="Q27" s="305"/>
      <c r="R27" s="276"/>
    </row>
    <row r="28" spans="1:18">
      <c r="A28" s="276"/>
      <c r="B28" s="314" t="s">
        <v>558</v>
      </c>
      <c r="C28" s="277">
        <v>2025</v>
      </c>
      <c r="D28" s="277">
        <f>C28+1</f>
        <v>2026</v>
      </c>
      <c r="E28" s="277">
        <f t="shared" ref="E28:L28" si="0">D28+1</f>
        <v>2027</v>
      </c>
      <c r="F28" s="277">
        <f t="shared" si="0"/>
        <v>2028</v>
      </c>
      <c r="G28" s="277">
        <f t="shared" si="0"/>
        <v>2029</v>
      </c>
      <c r="H28" s="277">
        <f t="shared" si="0"/>
        <v>2030</v>
      </c>
      <c r="I28" s="277">
        <f t="shared" si="0"/>
        <v>2031</v>
      </c>
      <c r="J28" s="277">
        <f t="shared" si="0"/>
        <v>2032</v>
      </c>
      <c r="K28" s="277">
        <f t="shared" si="0"/>
        <v>2033</v>
      </c>
      <c r="L28" s="277">
        <f t="shared" si="0"/>
        <v>2034</v>
      </c>
      <c r="M28" s="277" t="s">
        <v>448</v>
      </c>
      <c r="N28" s="276"/>
      <c r="O28" s="302"/>
      <c r="P28" s="305"/>
      <c r="Q28" s="305"/>
      <c r="R28" s="276"/>
    </row>
    <row r="29" spans="1:18">
      <c r="A29" s="843" t="s">
        <v>1162</v>
      </c>
      <c r="B29" s="314" t="s">
        <v>80</v>
      </c>
      <c r="C29" s="863">
        <f t="shared" ref="C29:K29" si="1">SUM(C30:C32)</f>
        <v>0</v>
      </c>
      <c r="D29" s="863">
        <f t="shared" si="1"/>
        <v>0</v>
      </c>
      <c r="E29" s="863">
        <f t="shared" si="1"/>
        <v>0</v>
      </c>
      <c r="F29" s="863">
        <f t="shared" si="1"/>
        <v>0</v>
      </c>
      <c r="G29" s="863">
        <f t="shared" si="1"/>
        <v>0</v>
      </c>
      <c r="H29" s="863">
        <f t="shared" si="1"/>
        <v>0</v>
      </c>
      <c r="I29" s="863">
        <f t="shared" si="1"/>
        <v>0</v>
      </c>
      <c r="J29" s="863">
        <f t="shared" si="1"/>
        <v>0</v>
      </c>
      <c r="K29" s="863">
        <f t="shared" si="1"/>
        <v>0</v>
      </c>
      <c r="L29" s="863">
        <f>SUM(L30:L32)</f>
        <v>0</v>
      </c>
      <c r="M29" s="863">
        <f>SUM(M30:M32)</f>
        <v>0</v>
      </c>
      <c r="N29" s="276"/>
      <c r="O29" s="302"/>
      <c r="P29" s="305"/>
      <c r="Q29" s="305"/>
      <c r="R29" s="276"/>
    </row>
    <row r="30" spans="1:18">
      <c r="A30" s="843" t="s">
        <v>1163</v>
      </c>
      <c r="B30" s="315" t="s">
        <v>559</v>
      </c>
      <c r="C30" s="864"/>
      <c r="D30" s="864"/>
      <c r="E30" s="864"/>
      <c r="F30" s="864"/>
      <c r="G30" s="864"/>
      <c r="H30" s="864"/>
      <c r="I30" s="864"/>
      <c r="J30" s="864"/>
      <c r="K30" s="864"/>
      <c r="L30" s="864"/>
      <c r="M30" s="865">
        <f>SUM(C30:L30)</f>
        <v>0</v>
      </c>
      <c r="N30" s="276"/>
      <c r="O30" s="302"/>
      <c r="P30" s="305"/>
      <c r="Q30" s="305"/>
      <c r="R30" s="276"/>
    </row>
    <row r="31" spans="1:18">
      <c r="A31" s="843" t="s">
        <v>1164</v>
      </c>
      <c r="B31" s="315" t="s">
        <v>560</v>
      </c>
      <c r="C31" s="864"/>
      <c r="D31" s="864"/>
      <c r="E31" s="864"/>
      <c r="F31" s="864"/>
      <c r="G31" s="864"/>
      <c r="H31" s="864"/>
      <c r="I31" s="864"/>
      <c r="J31" s="864"/>
      <c r="K31" s="864"/>
      <c r="L31" s="864"/>
      <c r="M31" s="865">
        <f>SUM(C31:L31)</f>
        <v>0</v>
      </c>
      <c r="N31" s="276"/>
      <c r="O31" s="302"/>
      <c r="P31" s="305"/>
      <c r="Q31" s="305"/>
      <c r="R31" s="276"/>
    </row>
    <row r="32" spans="1:18">
      <c r="A32" s="843" t="s">
        <v>1165</v>
      </c>
      <c r="B32" s="315" t="s">
        <v>561</v>
      </c>
      <c r="C32" s="864"/>
      <c r="D32" s="864"/>
      <c r="E32" s="864"/>
      <c r="F32" s="864"/>
      <c r="G32" s="864"/>
      <c r="H32" s="864"/>
      <c r="I32" s="864"/>
      <c r="J32" s="864"/>
      <c r="K32" s="864"/>
      <c r="L32" s="864"/>
      <c r="M32" s="865">
        <f>SUM(C32:L32)</f>
        <v>0</v>
      </c>
      <c r="N32" s="276"/>
      <c r="O32" s="302"/>
      <c r="P32" s="305"/>
      <c r="Q32" s="305"/>
      <c r="R32" s="276"/>
    </row>
    <row r="33" spans="1:18">
      <c r="A33" s="843"/>
      <c r="B33" s="315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6"/>
      <c r="O33" s="302"/>
      <c r="P33" s="305"/>
      <c r="Q33" s="305"/>
      <c r="R33" s="276"/>
    </row>
    <row r="34" spans="1:18">
      <c r="A34" s="843" t="s">
        <v>1166</v>
      </c>
      <c r="B34" s="314" t="s">
        <v>562</v>
      </c>
      <c r="C34" s="863">
        <f ca="1">SUM(C35:C37)</f>
        <v>12.47</v>
      </c>
      <c r="D34" s="863">
        <f t="shared" ref="D34:L34" ca="1" si="2">SUM(D35:D37)</f>
        <v>5.89</v>
      </c>
      <c r="E34" s="863">
        <f t="shared" ca="1" si="2"/>
        <v>10.6</v>
      </c>
      <c r="F34" s="863">
        <f t="shared" ca="1" si="2"/>
        <v>16.73</v>
      </c>
      <c r="G34" s="863">
        <f t="shared" ca="1" si="2"/>
        <v>20</v>
      </c>
      <c r="H34" s="863">
        <f t="shared" ca="1" si="2"/>
        <v>30.01</v>
      </c>
      <c r="I34" s="863">
        <f t="shared" ca="1" si="2"/>
        <v>19.989999999999998</v>
      </c>
      <c r="J34" s="863">
        <f t="shared" ca="1" si="2"/>
        <v>19.91</v>
      </c>
      <c r="K34" s="863">
        <f t="shared" ca="1" si="2"/>
        <v>19.79</v>
      </c>
      <c r="L34" s="863">
        <f t="shared" ca="1" si="2"/>
        <v>19.600000000000001</v>
      </c>
      <c r="M34" s="866" t="s">
        <v>448</v>
      </c>
      <c r="N34" s="276"/>
      <c r="O34" s="302"/>
      <c r="P34" s="305"/>
      <c r="Q34" s="305"/>
      <c r="R34" s="276"/>
    </row>
    <row r="35" spans="1:18">
      <c r="A35" s="843" t="s">
        <v>1167</v>
      </c>
      <c r="B35" s="315" t="s">
        <v>563</v>
      </c>
      <c r="C35" s="867">
        <f>ROUND(Финансы!F7/1000,2)</f>
        <v>10</v>
      </c>
      <c r="D35" s="867">
        <f>ROUND(Финансы!G7/1000,2)</f>
        <v>0</v>
      </c>
      <c r="E35" s="867">
        <f>ROUND(Финансы!H7/1000,2)</f>
        <v>0</v>
      </c>
      <c r="F35" s="867">
        <f>ROUND(Финансы!I7/1000,2)</f>
        <v>0</v>
      </c>
      <c r="G35" s="867">
        <f>ROUND(Финансы!J7/1000,2)</f>
        <v>0</v>
      </c>
      <c r="H35" s="867">
        <f>ROUND(Финансы!K7/1000,2)</f>
        <v>10</v>
      </c>
      <c r="I35" s="867">
        <f>ROUND(Финансы!L7/1000,2)</f>
        <v>0</v>
      </c>
      <c r="J35" s="867">
        <f>ROUND(Финансы!M7/1000,2)</f>
        <v>0</v>
      </c>
      <c r="K35" s="867">
        <f>ROUND(Финансы!N7/1000,2)</f>
        <v>0</v>
      </c>
      <c r="L35" s="867">
        <f>ROUND(Финансы!O7/1000,2)</f>
        <v>0</v>
      </c>
      <c r="M35" s="865">
        <f>SUM(C35:L35)</f>
        <v>20</v>
      </c>
      <c r="N35" s="276"/>
      <c r="O35" s="302"/>
      <c r="P35" s="306" t="str">
        <f t="array" aca="1" ref="P35" ca="1">HYPERLINK(CELL("адрес",Финансы!B7),"перейти")</f>
        <v>перейти</v>
      </c>
      <c r="Q35" s="305"/>
      <c r="R35" s="276"/>
    </row>
    <row r="36" spans="1:18">
      <c r="A36" s="843" t="s">
        <v>1168</v>
      </c>
      <c r="B36" s="315" t="s">
        <v>564</v>
      </c>
      <c r="C36" s="867">
        <f ca="1">ROUND(Финансы!F22/1000,2)</f>
        <v>0</v>
      </c>
      <c r="D36" s="867">
        <f ca="1">ROUND(Финансы!G22/1000,2)</f>
        <v>0</v>
      </c>
      <c r="E36" s="867">
        <f ca="1">ROUND(Финансы!H22/1000,2)</f>
        <v>0</v>
      </c>
      <c r="F36" s="867">
        <f ca="1">ROUND(Финансы!I22/1000,2)</f>
        <v>0</v>
      </c>
      <c r="G36" s="867">
        <f ca="1">ROUND(Финансы!J22/1000,2)</f>
        <v>0</v>
      </c>
      <c r="H36" s="867">
        <f ca="1">ROUND(Финансы!K22/1000,2)</f>
        <v>0</v>
      </c>
      <c r="I36" s="867">
        <f ca="1">ROUND(Финансы!L22/1000,2)</f>
        <v>0</v>
      </c>
      <c r="J36" s="867">
        <f ca="1">ROUND(Финансы!M22/1000,2)</f>
        <v>0</v>
      </c>
      <c r="K36" s="867">
        <f ca="1">ROUND(Финансы!N22/1000,2)</f>
        <v>0</v>
      </c>
      <c r="L36" s="867">
        <f ca="1">ROUND(Финансы!O22/1000,2)</f>
        <v>0</v>
      </c>
      <c r="M36" s="865">
        <f ca="1">SUM(C36:L36)</f>
        <v>0</v>
      </c>
      <c r="N36" s="276"/>
      <c r="O36" s="302"/>
      <c r="P36" s="306" t="str">
        <f t="array" aca="1" ref="P36" ca="1">HYPERLINK(CELL("адрес",Финансы!B22),"перейти")</f>
        <v>перейти</v>
      </c>
    </row>
    <row r="37" spans="1:18" ht="25.5">
      <c r="A37" s="843" t="s">
        <v>1169</v>
      </c>
      <c r="B37" s="315" t="s">
        <v>565</v>
      </c>
      <c r="C37" s="867">
        <f ca="1">ROUND(БДДС!F28/1000,2)</f>
        <v>2.4700000000000002</v>
      </c>
      <c r="D37" s="867">
        <f ca="1">ROUND(БДДС!G28/1000,2)</f>
        <v>5.89</v>
      </c>
      <c r="E37" s="867">
        <f ca="1">ROUND(БДДС!H28/1000,2)</f>
        <v>10.6</v>
      </c>
      <c r="F37" s="867">
        <f ca="1">ROUND(БДДС!I28/1000,2)</f>
        <v>16.73</v>
      </c>
      <c r="G37" s="867">
        <f ca="1">ROUND(БДДС!J28/1000,2)</f>
        <v>20</v>
      </c>
      <c r="H37" s="867">
        <f ca="1">ROUND(БДДС!K28/1000,2)</f>
        <v>20.010000000000002</v>
      </c>
      <c r="I37" s="867">
        <f ca="1">ROUND(БДДС!L28/1000,2)</f>
        <v>19.989999999999998</v>
      </c>
      <c r="J37" s="867">
        <f ca="1">ROUND(БДДС!M28/1000,2)</f>
        <v>19.91</v>
      </c>
      <c r="K37" s="867">
        <f ca="1">ROUND(БДДС!N28/1000,2)</f>
        <v>19.79</v>
      </c>
      <c r="L37" s="867">
        <f ca="1">ROUND(БДДС!O28/1000,2)</f>
        <v>19.600000000000001</v>
      </c>
      <c r="M37" s="865">
        <f ca="1">SUM(C37:L37)</f>
        <v>154.98999999999998</v>
      </c>
      <c r="N37" s="276"/>
      <c r="O37" s="302"/>
      <c r="P37" s="306" t="str">
        <f t="array" aca="1" ref="P37" ca="1">HYPERLINK(CELL("адрес",БДДС!B28),"перейти")</f>
        <v>перейти</v>
      </c>
    </row>
    <row r="38" spans="1:18" ht="25.5">
      <c r="A38" s="845" t="s">
        <v>1170</v>
      </c>
      <c r="B38" s="839" t="s">
        <v>1144</v>
      </c>
      <c r="C38" s="867">
        <f>Финансы!F13</f>
        <v>0</v>
      </c>
      <c r="D38" s="867">
        <f>Финансы!G13</f>
        <v>0</v>
      </c>
      <c r="E38" s="867">
        <f>Финансы!H13</f>
        <v>0</v>
      </c>
      <c r="F38" s="867">
        <f>Финансы!I13</f>
        <v>0</v>
      </c>
      <c r="G38" s="867">
        <f>Финансы!J13</f>
        <v>0</v>
      </c>
      <c r="H38" s="867">
        <f>Финансы!K13</f>
        <v>0</v>
      </c>
      <c r="I38" s="867">
        <f>Финансы!L13</f>
        <v>0</v>
      </c>
      <c r="J38" s="867">
        <f>Финансы!M13</f>
        <v>0</v>
      </c>
      <c r="K38" s="867">
        <f>Финансы!N13</f>
        <v>0</v>
      </c>
      <c r="L38" s="867">
        <f>Финансы!O13</f>
        <v>0</v>
      </c>
      <c r="M38" s="865">
        <f>SUM(C38:L38)</f>
        <v>0</v>
      </c>
      <c r="N38" s="276"/>
      <c r="O38" s="302"/>
      <c r="P38" s="305"/>
    </row>
    <row r="39" spans="1:18">
      <c r="A39" s="845"/>
      <c r="B39" s="315"/>
      <c r="C39" s="867"/>
      <c r="D39" s="867"/>
      <c r="E39" s="867"/>
      <c r="F39" s="867"/>
      <c r="G39" s="867"/>
      <c r="H39" s="867"/>
      <c r="I39" s="867"/>
      <c r="J39" s="867"/>
      <c r="K39" s="867"/>
      <c r="L39" s="867"/>
      <c r="M39" s="865"/>
      <c r="N39" s="276"/>
      <c r="O39" s="302"/>
      <c r="P39" s="305"/>
    </row>
    <row r="40" spans="1:18">
      <c r="A40" s="845" t="s">
        <v>1171</v>
      </c>
      <c r="B40" s="314" t="s">
        <v>566</v>
      </c>
      <c r="C40" s="863">
        <f ca="1">C29+C34</f>
        <v>12.47</v>
      </c>
      <c r="D40" s="863">
        <f t="shared" ref="D40:L40" ca="1" si="3">D29+D34</f>
        <v>5.89</v>
      </c>
      <c r="E40" s="863">
        <f t="shared" ca="1" si="3"/>
        <v>10.6</v>
      </c>
      <c r="F40" s="863">
        <f t="shared" ca="1" si="3"/>
        <v>16.73</v>
      </c>
      <c r="G40" s="863">
        <f t="shared" ca="1" si="3"/>
        <v>20</v>
      </c>
      <c r="H40" s="863">
        <f t="shared" ca="1" si="3"/>
        <v>30.01</v>
      </c>
      <c r="I40" s="863">
        <f t="shared" ca="1" si="3"/>
        <v>19.989999999999998</v>
      </c>
      <c r="J40" s="863">
        <f t="shared" ca="1" si="3"/>
        <v>19.91</v>
      </c>
      <c r="K40" s="863">
        <f t="shared" ca="1" si="3"/>
        <v>19.79</v>
      </c>
      <c r="L40" s="863">
        <f t="shared" ca="1" si="3"/>
        <v>19.600000000000001</v>
      </c>
      <c r="M40" s="866">
        <f ca="1">SUM(C40:L40)</f>
        <v>174.98999999999998</v>
      </c>
      <c r="N40" s="276"/>
      <c r="O40" s="302"/>
      <c r="P40" s="305"/>
    </row>
    <row r="41" spans="1:18">
      <c r="A41" s="845"/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302"/>
      <c r="P41" s="305"/>
    </row>
    <row r="42" spans="1:18"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302"/>
      <c r="P42" s="305"/>
    </row>
    <row r="43" spans="1:18">
      <c r="A43" s="846" t="s">
        <v>1172</v>
      </c>
      <c r="B43" s="313" t="s">
        <v>497</v>
      </c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302"/>
      <c r="P43" s="305"/>
    </row>
    <row r="44" spans="1:18">
      <c r="A44" s="844"/>
      <c r="B44" s="316"/>
      <c r="C44" s="277">
        <v>2025</v>
      </c>
      <c r="D44" s="277">
        <v>2026</v>
      </c>
      <c r="E44" s="277">
        <v>2027</v>
      </c>
      <c r="F44" s="277">
        <v>2028</v>
      </c>
      <c r="G44" s="277">
        <v>2029</v>
      </c>
      <c r="H44" s="277">
        <v>2030</v>
      </c>
      <c r="I44" s="277">
        <v>2031</v>
      </c>
      <c r="J44" s="277">
        <v>2032</v>
      </c>
      <c r="K44" s="277">
        <v>2033</v>
      </c>
      <c r="L44" s="277">
        <v>2034</v>
      </c>
      <c r="M44" s="295" t="s">
        <v>448</v>
      </c>
      <c r="N44" s="276"/>
      <c r="O44" s="302"/>
      <c r="P44" s="305"/>
    </row>
    <row r="45" spans="1:18">
      <c r="A45" s="844"/>
      <c r="B45" s="317" t="s">
        <v>498</v>
      </c>
      <c r="C45" s="279"/>
      <c r="D45" s="279"/>
      <c r="E45" s="279"/>
      <c r="F45" s="279"/>
      <c r="G45" s="279"/>
      <c r="H45" s="279"/>
      <c r="I45" s="276"/>
      <c r="J45" s="276"/>
      <c r="K45" s="276"/>
      <c r="L45" s="276"/>
      <c r="M45" s="279"/>
      <c r="N45" s="276"/>
      <c r="O45" s="302"/>
      <c r="P45" s="305"/>
    </row>
    <row r="46" spans="1:18">
      <c r="A46" s="845" t="s">
        <v>1173</v>
      </c>
      <c r="B46" s="318" t="s">
        <v>1178</v>
      </c>
      <c r="C46" s="868">
        <f>ROUND(Инвестиции!F7/1000,2)</f>
        <v>0</v>
      </c>
      <c r="D46" s="868">
        <f>ROUND(Инвестиции!G7/1000,2)</f>
        <v>0</v>
      </c>
      <c r="E46" s="868">
        <f>ROUND(Инвестиции!H7/1000,2)</f>
        <v>0</v>
      </c>
      <c r="F46" s="868">
        <f>ROUND(Инвестиции!I7/1000,2)</f>
        <v>0</v>
      </c>
      <c r="G46" s="868">
        <f>ROUND(Инвестиции!J7/1000,2)</f>
        <v>0</v>
      </c>
      <c r="H46" s="868">
        <f>ROUND(Инвестиции!K7/1000,2)</f>
        <v>0</v>
      </c>
      <c r="I46" s="868">
        <f>ROUND(Инвестиции!L7/1000,2)</f>
        <v>0</v>
      </c>
      <c r="J46" s="868">
        <f>ROUND(Инвестиции!M7/1000,2)</f>
        <v>0</v>
      </c>
      <c r="K46" s="868">
        <f>ROUND(Инвестиции!N7/1000,2)</f>
        <v>0</v>
      </c>
      <c r="L46" s="868">
        <f>ROUND(Инвестиции!O7/1000,2)</f>
        <v>0</v>
      </c>
      <c r="M46" s="869">
        <f>SUM(C46:L46)</f>
        <v>0</v>
      </c>
      <c r="N46" s="276"/>
      <c r="O46" s="302"/>
      <c r="P46" s="306" t="str">
        <f t="array" aca="1" ref="P46" ca="1">HYPERLINK(CELL("адрес",Инвестиции!B7),"перейти")</f>
        <v>перейти</v>
      </c>
    </row>
    <row r="47" spans="1:18">
      <c r="A47" s="845" t="s">
        <v>1174</v>
      </c>
      <c r="B47" s="318" t="s">
        <v>499</v>
      </c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1">
        <f>SUM(C47:L47)</f>
        <v>0</v>
      </c>
      <c r="N47" s="276"/>
      <c r="O47" s="302"/>
      <c r="P47" s="306"/>
    </row>
    <row r="48" spans="1:18">
      <c r="A48" s="845" t="s">
        <v>1175</v>
      </c>
      <c r="B48" s="317" t="s">
        <v>448</v>
      </c>
      <c r="C48" s="869">
        <f t="shared" ref="C48:L48" si="4">C46+C47</f>
        <v>0</v>
      </c>
      <c r="D48" s="869">
        <f t="shared" si="4"/>
        <v>0</v>
      </c>
      <c r="E48" s="869">
        <f t="shared" si="4"/>
        <v>0</v>
      </c>
      <c r="F48" s="869">
        <f t="shared" si="4"/>
        <v>0</v>
      </c>
      <c r="G48" s="869">
        <f t="shared" si="4"/>
        <v>0</v>
      </c>
      <c r="H48" s="869">
        <f t="shared" si="4"/>
        <v>0</v>
      </c>
      <c r="I48" s="869">
        <f t="shared" si="4"/>
        <v>0</v>
      </c>
      <c r="J48" s="869">
        <f t="shared" si="4"/>
        <v>0</v>
      </c>
      <c r="K48" s="869">
        <f t="shared" si="4"/>
        <v>0</v>
      </c>
      <c r="L48" s="869">
        <f t="shared" si="4"/>
        <v>0</v>
      </c>
      <c r="M48" s="869">
        <f>SUM(C48:L48)</f>
        <v>0</v>
      </c>
      <c r="N48" s="276"/>
      <c r="O48" s="302"/>
      <c r="P48" s="305"/>
    </row>
    <row r="49" spans="1:16">
      <c r="A49" s="845" t="s">
        <v>1176</v>
      </c>
      <c r="B49" s="318" t="s">
        <v>500</v>
      </c>
      <c r="C49" s="868">
        <f>ROUND(Инвестиции!F8/1000,0)</f>
        <v>0</v>
      </c>
      <c r="D49" s="868">
        <f>ROUND(Инвестиции!G8/1000,0)</f>
        <v>0</v>
      </c>
      <c r="E49" s="868">
        <f>ROUND(Инвестиции!H8/1000,0)</f>
        <v>0</v>
      </c>
      <c r="F49" s="868">
        <f>ROUND(Инвестиции!I8/1000,0)</f>
        <v>0</v>
      </c>
      <c r="G49" s="868">
        <f>ROUND(Инвестиции!J8/1000,0)</f>
        <v>0</v>
      </c>
      <c r="H49" s="868">
        <f>ROUND(Инвестиции!K8/1000,0)</f>
        <v>0</v>
      </c>
      <c r="I49" s="868">
        <f>ROUND(Инвестиции!L8/1000,0)</f>
        <v>0</v>
      </c>
      <c r="J49" s="868">
        <f>ROUND(Инвестиции!M8/1000,0)</f>
        <v>0</v>
      </c>
      <c r="K49" s="868">
        <f>ROUND(Инвестиции!N8/1000,0)</f>
        <v>0</v>
      </c>
      <c r="L49" s="868">
        <f>ROUND(Инвестиции!O8/1000,0)</f>
        <v>0</v>
      </c>
      <c r="M49" s="869">
        <f>SUM(C49:L49)</f>
        <v>0</v>
      </c>
      <c r="N49" s="276"/>
      <c r="O49" s="302"/>
      <c r="P49" s="306" t="str">
        <f t="array" aca="1" ref="P49" ca="1">HYPERLINK(CELL("адрес",Инвестиции!B8),"перейти")</f>
        <v>перейти</v>
      </c>
    </row>
    <row r="50" spans="1:16">
      <c r="A50" s="845" t="s">
        <v>1177</v>
      </c>
      <c r="B50" s="317" t="s">
        <v>501</v>
      </c>
      <c r="C50" s="869">
        <f t="shared" ref="C50:L50" si="5">C48-C49</f>
        <v>0</v>
      </c>
      <c r="D50" s="869">
        <f t="shared" si="5"/>
        <v>0</v>
      </c>
      <c r="E50" s="869">
        <f t="shared" si="5"/>
        <v>0</v>
      </c>
      <c r="F50" s="869">
        <f t="shared" si="5"/>
        <v>0</v>
      </c>
      <c r="G50" s="869">
        <f t="shared" si="5"/>
        <v>0</v>
      </c>
      <c r="H50" s="869">
        <f t="shared" si="5"/>
        <v>0</v>
      </c>
      <c r="I50" s="869">
        <f t="shared" si="5"/>
        <v>0</v>
      </c>
      <c r="J50" s="869">
        <f t="shared" si="5"/>
        <v>0</v>
      </c>
      <c r="K50" s="869">
        <f t="shared" si="5"/>
        <v>0</v>
      </c>
      <c r="L50" s="869">
        <f t="shared" si="5"/>
        <v>0</v>
      </c>
      <c r="M50" s="869">
        <f>M48-M49</f>
        <v>0</v>
      </c>
      <c r="N50" s="276"/>
      <c r="O50" s="302"/>
      <c r="P50" s="305"/>
    </row>
    <row r="51" spans="1:16"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302"/>
      <c r="P51" s="305"/>
    </row>
    <row r="52" spans="1:16">
      <c r="A52" s="846" t="s">
        <v>1180</v>
      </c>
      <c r="B52" s="313" t="s">
        <v>502</v>
      </c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302"/>
      <c r="P52" s="305"/>
    </row>
    <row r="53" spans="1:16">
      <c r="A53" s="848"/>
      <c r="B53" s="319" t="s">
        <v>503</v>
      </c>
      <c r="C53" s="282">
        <v>2025</v>
      </c>
      <c r="D53" s="282">
        <v>2026</v>
      </c>
      <c r="E53" s="282">
        <v>2027</v>
      </c>
      <c r="F53" s="282">
        <v>2028</v>
      </c>
      <c r="G53" s="282">
        <v>2029</v>
      </c>
      <c r="H53" s="282">
        <v>2030</v>
      </c>
      <c r="I53" s="282">
        <v>2031</v>
      </c>
      <c r="J53" s="282">
        <v>2032</v>
      </c>
      <c r="K53" s="282">
        <v>2033</v>
      </c>
      <c r="L53" s="282">
        <v>2034</v>
      </c>
      <c r="M53" s="296" t="s">
        <v>504</v>
      </c>
      <c r="N53" s="276"/>
      <c r="O53" s="302"/>
      <c r="P53" s="305"/>
    </row>
    <row r="54" spans="1:16">
      <c r="A54" s="849" t="s">
        <v>1181</v>
      </c>
      <c r="B54" s="318" t="s">
        <v>205</v>
      </c>
      <c r="C54" s="870"/>
      <c r="D54" s="870"/>
      <c r="E54" s="870"/>
      <c r="F54" s="870"/>
      <c r="G54" s="870"/>
      <c r="H54" s="870"/>
      <c r="I54" s="870"/>
      <c r="J54" s="870"/>
      <c r="K54" s="870"/>
      <c r="L54" s="870"/>
      <c r="M54" s="871">
        <f>SUM(C54:L54)</f>
        <v>0</v>
      </c>
      <c r="N54" s="276"/>
      <c r="O54" s="302"/>
      <c r="P54" s="305"/>
    </row>
    <row r="55" spans="1:16">
      <c r="A55" s="849" t="s">
        <v>1182</v>
      </c>
      <c r="B55" s="318" t="s">
        <v>1178</v>
      </c>
      <c r="C55" s="870">
        <f>ROUND(Инвестиции!F7/1000,0)</f>
        <v>0</v>
      </c>
      <c r="D55" s="870">
        <f>ROUND(Инвестиции!G7/1000,0)</f>
        <v>0</v>
      </c>
      <c r="E55" s="870">
        <f>ROUND(Инвестиции!H7/1000,0)</f>
        <v>0</v>
      </c>
      <c r="F55" s="870">
        <f>ROUND(Инвестиции!I7/1000,0)</f>
        <v>0</v>
      </c>
      <c r="G55" s="870">
        <f>ROUND(Инвестиции!J7/1000,0)</f>
        <v>0</v>
      </c>
      <c r="H55" s="870">
        <f>ROUND(Инвестиции!K7/1000,0)</f>
        <v>0</v>
      </c>
      <c r="I55" s="870">
        <f>ROUND(Инвестиции!L7/1000,0)</f>
        <v>0</v>
      </c>
      <c r="J55" s="870">
        <f>ROUND(Инвестиции!M7/1000,0)</f>
        <v>0</v>
      </c>
      <c r="K55" s="870">
        <f>ROUND(Инвестиции!N7/1000,0)</f>
        <v>0</v>
      </c>
      <c r="L55" s="870">
        <f>ROUND(Инвестиции!O7/1000,0)</f>
        <v>0</v>
      </c>
      <c r="M55" s="871">
        <f>SUM(C55:L55)</f>
        <v>0</v>
      </c>
      <c r="N55" s="276"/>
      <c r="O55" s="302"/>
      <c r="P55" s="306" t="str">
        <f t="array" aca="1" ref="P55" ca="1">HYPERLINK(CELL("адрес",Инвестиции!B7),"перейти")</f>
        <v>перейти</v>
      </c>
    </row>
    <row r="56" spans="1:16">
      <c r="A56" s="849" t="s">
        <v>1183</v>
      </c>
      <c r="B56" s="320" t="s">
        <v>505</v>
      </c>
      <c r="C56" s="870"/>
      <c r="D56" s="870"/>
      <c r="E56" s="870"/>
      <c r="F56" s="870"/>
      <c r="G56" s="870"/>
      <c r="H56" s="870"/>
      <c r="I56" s="870"/>
      <c r="J56" s="870"/>
      <c r="K56" s="870"/>
      <c r="L56" s="870"/>
      <c r="M56" s="871">
        <f>SUM(C56:L56)</f>
        <v>0</v>
      </c>
      <c r="N56" s="276"/>
      <c r="O56" s="302"/>
      <c r="P56" s="305"/>
    </row>
    <row r="57" spans="1:16">
      <c r="A57" s="849" t="s">
        <v>1184</v>
      </c>
      <c r="B57" s="321" t="s">
        <v>506</v>
      </c>
      <c r="C57" s="872">
        <f>SUM(C54:C56)</f>
        <v>0</v>
      </c>
      <c r="D57" s="872">
        <f t="shared" ref="D57:L57" si="6">SUM(D54:D56)</f>
        <v>0</v>
      </c>
      <c r="E57" s="872">
        <f t="shared" si="6"/>
        <v>0</v>
      </c>
      <c r="F57" s="872">
        <f t="shared" si="6"/>
        <v>0</v>
      </c>
      <c r="G57" s="872">
        <f t="shared" si="6"/>
        <v>0</v>
      </c>
      <c r="H57" s="872">
        <f t="shared" si="6"/>
        <v>0</v>
      </c>
      <c r="I57" s="872">
        <f t="shared" si="6"/>
        <v>0</v>
      </c>
      <c r="J57" s="872">
        <f t="shared" si="6"/>
        <v>0</v>
      </c>
      <c r="K57" s="872">
        <f t="shared" si="6"/>
        <v>0</v>
      </c>
      <c r="L57" s="872">
        <f t="shared" si="6"/>
        <v>0</v>
      </c>
      <c r="M57" s="871">
        <f>SUM(C57:L57)</f>
        <v>0</v>
      </c>
      <c r="N57" s="285"/>
      <c r="O57" s="303"/>
      <c r="P57" s="305"/>
    </row>
    <row r="58" spans="1:16">
      <c r="A58" s="843"/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302"/>
      <c r="P58" s="305"/>
    </row>
    <row r="59" spans="1:16">
      <c r="A59" s="842" t="s">
        <v>1185</v>
      </c>
      <c r="B59" s="313" t="s">
        <v>507</v>
      </c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302"/>
      <c r="P59" s="305"/>
    </row>
    <row r="60" spans="1:16">
      <c r="A60" s="850"/>
      <c r="B60" s="322" t="s">
        <v>503</v>
      </c>
      <c r="C60" s="277">
        <v>2025</v>
      </c>
      <c r="D60" s="277">
        <v>2026</v>
      </c>
      <c r="E60" s="277">
        <v>2027</v>
      </c>
      <c r="F60" s="277">
        <v>2028</v>
      </c>
      <c r="G60" s="277">
        <v>2029</v>
      </c>
      <c r="H60" s="277">
        <v>2030</v>
      </c>
      <c r="I60" s="277">
        <v>2031</v>
      </c>
      <c r="J60" s="277">
        <v>2032</v>
      </c>
      <c r="K60" s="277">
        <v>2033</v>
      </c>
      <c r="L60" s="277">
        <v>2034</v>
      </c>
      <c r="M60" s="297" t="s">
        <v>508</v>
      </c>
      <c r="N60" s="276"/>
      <c r="O60" s="302"/>
      <c r="P60" s="305"/>
    </row>
    <row r="61" spans="1:16">
      <c r="A61" s="851" t="s">
        <v>1186</v>
      </c>
      <c r="B61" s="323" t="s">
        <v>1227</v>
      </c>
      <c r="C61" s="283">
        <f>Выручка!F17+Выручка!F23+Выручка!F29</f>
        <v>1409</v>
      </c>
      <c r="D61" s="283">
        <f>Выручка!G17+Выручка!G23+Выручка!G29</f>
        <v>1412</v>
      </c>
      <c r="E61" s="283">
        <f>Выручка!H17+Выручка!H23+Выручка!H29</f>
        <v>1415</v>
      </c>
      <c r="F61" s="283">
        <f>Выручка!I17+Выручка!I23+Выручка!I29</f>
        <v>1420</v>
      </c>
      <c r="G61" s="283">
        <f>Выручка!J17+Выручка!J23+Выручка!J29</f>
        <v>1470</v>
      </c>
      <c r="H61" s="283">
        <f>Выручка!K17+Выручка!K23+Выручка!K29</f>
        <v>1470</v>
      </c>
      <c r="I61" s="283">
        <f>Выручка!L17+Выручка!L23+Выручка!L29</f>
        <v>1470</v>
      </c>
      <c r="J61" s="283">
        <f>Выручка!M17+Выручка!M23+Выручка!M29</f>
        <v>1470</v>
      </c>
      <c r="K61" s="283">
        <f>Выручка!N17+Выручка!N23+Выручка!N29</f>
        <v>1470</v>
      </c>
      <c r="L61" s="283">
        <f>Выручка!O17+Выручка!O23+Выручка!O29</f>
        <v>1470</v>
      </c>
      <c r="M61" s="298">
        <f>SUM(C61:L61)</f>
        <v>14476</v>
      </c>
      <c r="N61" s="276"/>
      <c r="O61" s="302"/>
      <c r="P61" s="305"/>
    </row>
    <row r="62" spans="1:16">
      <c r="A62" s="851" t="s">
        <v>1187</v>
      </c>
      <c r="B62" s="323" t="s">
        <v>509</v>
      </c>
      <c r="C62" s="283" t="s">
        <v>491</v>
      </c>
      <c r="D62" s="283" t="s">
        <v>491</v>
      </c>
      <c r="E62" s="283" t="s">
        <v>491</v>
      </c>
      <c r="F62" s="283" t="s">
        <v>491</v>
      </c>
      <c r="G62" s="283" t="s">
        <v>491</v>
      </c>
      <c r="H62" s="283" t="s">
        <v>491</v>
      </c>
      <c r="I62" s="283" t="s">
        <v>491</v>
      </c>
      <c r="J62" s="283" t="s">
        <v>491</v>
      </c>
      <c r="K62" s="283" t="s">
        <v>491</v>
      </c>
      <c r="L62" s="283" t="s">
        <v>491</v>
      </c>
      <c r="M62" s="299"/>
      <c r="N62" s="276"/>
      <c r="O62" s="302"/>
      <c r="P62" s="305"/>
    </row>
    <row r="63" spans="1:16">
      <c r="A63" s="843"/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302"/>
      <c r="P63" s="305"/>
    </row>
    <row r="64" spans="1:16">
      <c r="A64" s="842" t="s">
        <v>1188</v>
      </c>
      <c r="B64" s="313" t="s">
        <v>510</v>
      </c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  <c r="O64" s="302"/>
      <c r="P64" s="305"/>
    </row>
    <row r="65" spans="1:17">
      <c r="A65" s="852"/>
      <c r="B65" s="322" t="s">
        <v>503</v>
      </c>
      <c r="C65" s="277">
        <v>2025</v>
      </c>
      <c r="D65" s="277">
        <v>2026</v>
      </c>
      <c r="E65" s="277">
        <v>2027</v>
      </c>
      <c r="F65" s="277">
        <v>2028</v>
      </c>
      <c r="G65" s="277">
        <v>2029</v>
      </c>
      <c r="H65" s="277">
        <v>2030</v>
      </c>
      <c r="I65" s="277">
        <v>2031</v>
      </c>
      <c r="J65" s="277">
        <v>2032</v>
      </c>
      <c r="K65" s="277">
        <v>2033</v>
      </c>
      <c r="L65" s="277">
        <v>2034</v>
      </c>
      <c r="M65" s="300" t="s">
        <v>508</v>
      </c>
      <c r="N65" s="276"/>
      <c r="O65" s="302"/>
      <c r="P65" s="305"/>
    </row>
    <row r="66" spans="1:17">
      <c r="A66" s="853" t="s">
        <v>1189</v>
      </c>
      <c r="B66" s="323" t="s">
        <v>511</v>
      </c>
      <c r="C66" s="873">
        <f>ROUND(Выручка!F8/1000,2)</f>
        <v>110</v>
      </c>
      <c r="D66" s="873">
        <f>ROUND(Выручка!G8/1000,2)</f>
        <v>120.64</v>
      </c>
      <c r="E66" s="873">
        <f>ROUND(Выручка!H8/1000,2)</f>
        <v>131.96</v>
      </c>
      <c r="F66" s="873">
        <f>ROUND(Выручка!I8/1000,2)</f>
        <v>148.47999999999999</v>
      </c>
      <c r="G66" s="873">
        <f>ROUND(Выручка!J8/1000,2)</f>
        <v>157.93</v>
      </c>
      <c r="H66" s="873">
        <f>ROUND(Выручка!K8/1000,2)</f>
        <v>164.25</v>
      </c>
      <c r="I66" s="873">
        <f>ROUND(Выручка!L8/1000,2)</f>
        <v>170.82</v>
      </c>
      <c r="J66" s="873">
        <f>ROUND(Выручка!M8/1000,2)</f>
        <v>177.65</v>
      </c>
      <c r="K66" s="873">
        <f>ROUND(Выручка!N8/1000,2)</f>
        <v>184.76</v>
      </c>
      <c r="L66" s="873">
        <f>ROUND(Выручка!O8/1000,2)</f>
        <v>192.15</v>
      </c>
      <c r="M66" s="874">
        <f>SUM(C66:L66)</f>
        <v>1558.64</v>
      </c>
      <c r="N66" s="276"/>
      <c r="O66" s="302"/>
      <c r="P66" s="306" t="str">
        <f t="array" aca="1" ref="P66" ca="1">HYPERLINK(CELL("адрес",Выручка!B8),"перейти")</f>
        <v>перейти</v>
      </c>
    </row>
    <row r="67" spans="1:17">
      <c r="A67" s="854" t="s">
        <v>1190</v>
      </c>
      <c r="B67" s="847" t="s">
        <v>1179</v>
      </c>
      <c r="C67" s="875">
        <f>Выручка!F10/1000</f>
        <v>115.5</v>
      </c>
      <c r="D67" s="875">
        <f>Выручка!G10/1000</f>
        <v>126.672</v>
      </c>
      <c r="E67" s="875">
        <f>Выручка!H10/1000</f>
        <v>138.55296000000001</v>
      </c>
      <c r="F67" s="875">
        <f>Выручка!I10/1000</f>
        <v>155.90615040000003</v>
      </c>
      <c r="G67" s="875">
        <f>Выручка!J10/1000</f>
        <v>165.82745088000004</v>
      </c>
      <c r="H67" s="875">
        <f>Выручка!K10/1000</f>
        <v>172.46054891520006</v>
      </c>
      <c r="I67" s="875">
        <f>Выручка!L10/1000</f>
        <v>179.35897087180805</v>
      </c>
      <c r="J67" s="875">
        <f>Выручка!M10/1000</f>
        <v>186.53332970668035</v>
      </c>
      <c r="K67" s="875">
        <f>Выручка!N10/1000</f>
        <v>193.99466289494757</v>
      </c>
      <c r="L67" s="875">
        <f>Выручка!O10/1000</f>
        <v>201.75444941074551</v>
      </c>
      <c r="M67" s="874">
        <f>SUM(C67:L67)</f>
        <v>1636.5605230793817</v>
      </c>
      <c r="N67" s="276"/>
      <c r="O67" s="302"/>
      <c r="P67" s="305"/>
    </row>
    <row r="68" spans="1:17">
      <c r="A68" s="276"/>
      <c r="B68" s="276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302"/>
      <c r="P68" s="305"/>
    </row>
    <row r="69" spans="1:17">
      <c r="A69" s="842" t="s">
        <v>1191</v>
      </c>
      <c r="B69" s="311" t="str">
        <f>CONCATENATE("Прогноз показателей бюджетной эффективности проекта, ", C65, "-",L65," годы")</f>
        <v>Прогноз показателей бюджетной эффективности проекта, 2025-2034 годы</v>
      </c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302"/>
      <c r="P69" s="305"/>
      <c r="Q69" s="305"/>
    </row>
    <row r="70" spans="1:17" ht="51">
      <c r="A70" s="852"/>
      <c r="B70" s="312" t="s">
        <v>512</v>
      </c>
      <c r="C70" s="292" t="s">
        <v>518</v>
      </c>
      <c r="D70" s="292" t="s">
        <v>519</v>
      </c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302"/>
      <c r="P70" s="307" t="s">
        <v>518</v>
      </c>
      <c r="Q70" s="307" t="s">
        <v>519</v>
      </c>
    </row>
    <row r="71" spans="1:17">
      <c r="A71" s="841" t="s">
        <v>1192</v>
      </c>
      <c r="B71" s="279" t="s">
        <v>520</v>
      </c>
      <c r="C71" s="868">
        <f>ROUND(НалогСвод!$D$6/1000,2)</f>
        <v>77.930000000000007</v>
      </c>
      <c r="D71" s="339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302"/>
      <c r="P71" s="306" t="str">
        <f t="array" aca="1" ref="P71" ca="1">HYPERLINK(CELL("адрес",НалогСвод!D6),"перейти")</f>
        <v>перейти</v>
      </c>
      <c r="Q71" s="305"/>
    </row>
    <row r="72" spans="1:17">
      <c r="A72" s="841" t="s">
        <v>1193</v>
      </c>
      <c r="B72" s="279" t="s">
        <v>521</v>
      </c>
      <c r="C72" s="868">
        <f>ROUND((НалогСвод!$D$10+НалогСвод!$D$11)/1000,2)</f>
        <v>64.78</v>
      </c>
      <c r="D72" s="339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302"/>
      <c r="P72" s="306" t="str">
        <f t="array" aca="1" ref="P72" ca="1">HYPERLINK(CELL("адрес",НалогСвод!D10),"перейти")</f>
        <v>перейти</v>
      </c>
      <c r="Q72" s="305"/>
    </row>
    <row r="73" spans="1:17">
      <c r="A73" s="841" t="s">
        <v>1194</v>
      </c>
      <c r="B73" s="279" t="s">
        <v>522</v>
      </c>
      <c r="C73" s="280">
        <f ca="1">ROUND((НалогСвод!$D$7+НалогСвод!$D$8)/1000,2)</f>
        <v>0</v>
      </c>
      <c r="D73" s="280">
        <f ca="1">ROUND((НалогСвод!$D$24+НалогСвод!$D$25)/1000,2)</f>
        <v>0</v>
      </c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302"/>
      <c r="P73" s="306" t="str">
        <f t="array" aca="1" ref="P73" ca="1">HYPERLINK(CELL("адрес",НалогСвод!D8),"перейти")</f>
        <v>перейти</v>
      </c>
      <c r="Q73" s="306" t="str">
        <f t="array" aca="1" ref="Q73" ca="1">HYPERLINK(CELL("адрес",НалогСвод!D25),"перейти")</f>
        <v>перейти</v>
      </c>
    </row>
    <row r="74" spans="1:17">
      <c r="A74" s="841" t="s">
        <v>1195</v>
      </c>
      <c r="B74" s="279" t="s">
        <v>523</v>
      </c>
      <c r="C74" s="280">
        <f>ROUND(НалогСвод!$D$9/1000,2)</f>
        <v>0</v>
      </c>
      <c r="D74" s="280">
        <f>ROUND(НалогСвод!$D$27/1000,2)</f>
        <v>0</v>
      </c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302"/>
      <c r="P74" s="306" t="str">
        <f t="array" aca="1" ref="P74" ca="1">HYPERLINK(CELL("адрес",НалогСвод!B9),"перейти")</f>
        <v>перейти</v>
      </c>
      <c r="Q74" s="306" t="str">
        <f t="array" aca="1" ref="Q74" ca="1">HYPERLINK(CELL("адрес",НалогСвод!B27),"перейти")</f>
        <v>перейти</v>
      </c>
    </row>
    <row r="75" spans="1:17">
      <c r="A75" s="841" t="s">
        <v>1196</v>
      </c>
      <c r="B75" s="279" t="s">
        <v>1225</v>
      </c>
      <c r="C75" s="868">
        <f ca="1">НалогСвод!D13/1000</f>
        <v>8.1576623265141599</v>
      </c>
      <c r="D75" s="280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302"/>
      <c r="P75" s="306"/>
      <c r="Q75" s="306"/>
    </row>
    <row r="76" spans="1:17">
      <c r="A76" s="841" t="s">
        <v>1197</v>
      </c>
      <c r="B76" s="324" t="s">
        <v>524</v>
      </c>
      <c r="C76" s="869">
        <f ca="1">SUM(C77:C79)</f>
        <v>150.87</v>
      </c>
      <c r="D76" s="869">
        <f ca="1">SUM(D77:D79)</f>
        <v>16.32</v>
      </c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302"/>
      <c r="P76" s="305"/>
      <c r="Q76" s="305"/>
    </row>
    <row r="77" spans="1:17">
      <c r="A77" s="841" t="s">
        <v>1198</v>
      </c>
      <c r="B77" s="279" t="s">
        <v>525</v>
      </c>
      <c r="C77" s="868">
        <f ca="1">ROUND(НалогСвод!D17/1000,2)</f>
        <v>77.930000000000007</v>
      </c>
      <c r="D77" s="877">
        <f ca="1">ROUND(НалогСвод!D31/1000,2)</f>
        <v>0</v>
      </c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302"/>
      <c r="P77" s="306" t="str">
        <f t="array" aca="1" ref="P77" ca="1">HYPERLINK(CELL("адрес",НалогСвод!D17),"перейти")</f>
        <v>перейти</v>
      </c>
      <c r="Q77" s="306" t="str">
        <f t="array" aca="1" ref="Q77" ca="1">HYPERLINK(CELL("адрес",НалогСвод!D31),"перейти")</f>
        <v>перейти</v>
      </c>
    </row>
    <row r="78" spans="1:17">
      <c r="A78" s="841" t="s">
        <v>1199</v>
      </c>
      <c r="B78" s="279" t="s">
        <v>526</v>
      </c>
      <c r="C78" s="868">
        <f ca="1">ROUND(НалогСвод!D18/1000,2)</f>
        <v>62.97</v>
      </c>
      <c r="D78" s="877">
        <f ca="1">ROUND(НалогСвод!D32/1000,2)</f>
        <v>16.32</v>
      </c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302"/>
      <c r="P78" s="306" t="str">
        <f t="array" aca="1" ref="P78" ca="1">HYPERLINK(CELL("адрес",НалогСвод!D18),"перейти")</f>
        <v>перейти</v>
      </c>
      <c r="Q78" s="306" t="str">
        <f t="array" aca="1" ref="Q78" ca="1">HYPERLINK(CELL("адрес",НалогСвод!D32),"перейти")</f>
        <v>перейти</v>
      </c>
    </row>
    <row r="79" spans="1:17">
      <c r="A79" s="841" t="s">
        <v>1200</v>
      </c>
      <c r="B79" s="279" t="s">
        <v>527</v>
      </c>
      <c r="C79" s="868">
        <f>ROUND(НалогСвод!D19/1000,2)</f>
        <v>9.9700000000000006</v>
      </c>
      <c r="D79" s="877">
        <f>ROUND(НалогСвод!D33/1000,2)</f>
        <v>0</v>
      </c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302"/>
      <c r="P79" s="306" t="str">
        <f t="array" aca="1" ref="P79" ca="1">HYPERLINK(CELL("адрес",НалогСвод!D19),"перейти")</f>
        <v>перейти</v>
      </c>
      <c r="Q79" s="306" t="str">
        <f t="array" aca="1" ref="Q79" ca="1">HYPERLINK(CELL("адрес",НалогСвод!D33),"перейти")</f>
        <v>перейти</v>
      </c>
    </row>
    <row r="80" spans="1:17">
      <c r="A80" s="841" t="s">
        <v>1201</v>
      </c>
      <c r="B80" s="324" t="s">
        <v>528</v>
      </c>
      <c r="C80" s="869">
        <f>ROUND(НалогСвод!$D$12/1000,2)</f>
        <v>37.869999999999997</v>
      </c>
      <c r="D80" s="878">
        <f>ROUND(НалогСвод!D34/1000,2)</f>
        <v>111.62</v>
      </c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302"/>
      <c r="P80" s="306" t="str">
        <f t="array" aca="1" ref="P80" ca="1">HYPERLINK(CELL("адрес",НалогСвод!D20),"перейти")</f>
        <v>перейти</v>
      </c>
      <c r="Q80" s="306" t="str">
        <f t="array" aca="1" ref="Q80" ca="1">HYPERLINK(CELL("адрес",НалогСвод!D34),"перейти")</f>
        <v>перейти</v>
      </c>
    </row>
    <row r="81" spans="1:17">
      <c r="A81" s="841" t="s">
        <v>1202</v>
      </c>
      <c r="B81" s="324" t="s">
        <v>529</v>
      </c>
      <c r="C81" s="869"/>
      <c r="D81" s="878"/>
      <c r="E81" s="276"/>
      <c r="F81" s="276"/>
      <c r="G81" s="276"/>
      <c r="H81" s="276"/>
      <c r="I81" s="276"/>
      <c r="J81" s="276"/>
      <c r="K81" s="276"/>
      <c r="L81" s="276"/>
      <c r="M81" s="276"/>
      <c r="N81" s="276"/>
      <c r="O81" s="302"/>
      <c r="P81" s="305"/>
      <c r="Q81" s="305"/>
    </row>
    <row r="82" spans="1:17">
      <c r="A82" s="841" t="s">
        <v>1226</v>
      </c>
      <c r="B82" s="324" t="s">
        <v>372</v>
      </c>
      <c r="C82" s="869">
        <f ca="1">C76+C80+C81</f>
        <v>188.74</v>
      </c>
      <c r="D82" s="869">
        <f ca="1">D76+D80+D81</f>
        <v>127.94</v>
      </c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302"/>
      <c r="P82" s="305"/>
      <c r="Q82" s="305"/>
    </row>
    <row r="83" spans="1:17">
      <c r="A83" s="841"/>
      <c r="B83" s="276"/>
      <c r="C83" s="276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302"/>
      <c r="P83" s="305"/>
      <c r="Q83" s="305"/>
    </row>
    <row r="84" spans="1:17">
      <c r="A84" s="842" t="s">
        <v>1203</v>
      </c>
      <c r="B84" s="313" t="s">
        <v>530</v>
      </c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302"/>
      <c r="P84" s="305"/>
      <c r="Q84" s="305"/>
    </row>
    <row r="85" spans="1:17">
      <c r="A85" s="843"/>
      <c r="B85" s="325" t="s">
        <v>503</v>
      </c>
      <c r="C85" s="277">
        <v>2025</v>
      </c>
      <c r="D85" s="277">
        <v>2026</v>
      </c>
      <c r="E85" s="277">
        <v>2027</v>
      </c>
      <c r="F85" s="277">
        <v>2028</v>
      </c>
      <c r="G85" s="277">
        <v>2029</v>
      </c>
      <c r="H85" s="277">
        <v>2030</v>
      </c>
      <c r="I85" s="277">
        <v>2031</v>
      </c>
      <c r="J85" s="277">
        <v>2032</v>
      </c>
      <c r="K85" s="277">
        <v>2033</v>
      </c>
      <c r="L85" s="277">
        <v>2034</v>
      </c>
      <c r="M85" s="276" t="s">
        <v>448</v>
      </c>
      <c r="N85" s="276"/>
      <c r="O85" s="302"/>
      <c r="P85" s="305"/>
      <c r="Q85" s="305"/>
    </row>
    <row r="86" spans="1:17" ht="25.5">
      <c r="A86" s="843" t="s">
        <v>1204</v>
      </c>
      <c r="B86" s="326" t="s">
        <v>531</v>
      </c>
      <c r="C86" s="284">
        <f>Исходные!F94</f>
        <v>12</v>
      </c>
      <c r="D86" s="284">
        <f>Исходные!G94</f>
        <v>12</v>
      </c>
      <c r="E86" s="284">
        <f>Исходные!H94</f>
        <v>12</v>
      </c>
      <c r="F86" s="284">
        <f>Исходные!I94</f>
        <v>12</v>
      </c>
      <c r="G86" s="284">
        <f>Исходные!J94</f>
        <v>12</v>
      </c>
      <c r="H86" s="284">
        <f>Исходные!K94</f>
        <v>12</v>
      </c>
      <c r="I86" s="284">
        <f>Исходные!L94</f>
        <v>23</v>
      </c>
      <c r="J86" s="284">
        <f>Исходные!M94</f>
        <v>23</v>
      </c>
      <c r="K86" s="284">
        <f>Исходные!N94</f>
        <v>23</v>
      </c>
      <c r="L86" s="284">
        <f>Исходные!O94</f>
        <v>23</v>
      </c>
      <c r="M86" s="856">
        <f>L86</f>
        <v>23</v>
      </c>
      <c r="N86" s="276"/>
      <c r="O86" s="302"/>
      <c r="P86" s="306" t="str">
        <f t="array" aca="1" ref="P86" ca="1">HYPERLINK(CELL("адрес",Исходные!B94),"перейти")</f>
        <v>перейти</v>
      </c>
    </row>
    <row r="87" spans="1:17" ht="25.5">
      <c r="A87" s="843" t="s">
        <v>1205</v>
      </c>
      <c r="B87" s="326" t="s">
        <v>532</v>
      </c>
      <c r="C87" s="284">
        <f>Исходные!F95</f>
        <v>12</v>
      </c>
      <c r="D87" s="284">
        <f>Исходные!G95</f>
        <v>0</v>
      </c>
      <c r="E87" s="284">
        <f>Исходные!H95</f>
        <v>0</v>
      </c>
      <c r="F87" s="284">
        <f>Исходные!I95</f>
        <v>0</v>
      </c>
      <c r="G87" s="284">
        <f>Исходные!J95</f>
        <v>0</v>
      </c>
      <c r="H87" s="284">
        <f>Исходные!K95</f>
        <v>0</v>
      </c>
      <c r="I87" s="284">
        <f>Исходные!L95</f>
        <v>23</v>
      </c>
      <c r="J87" s="284">
        <f>Исходные!M95</f>
        <v>0</v>
      </c>
      <c r="K87" s="284">
        <f>Исходные!N95</f>
        <v>0</v>
      </c>
      <c r="L87" s="284">
        <f>Исходные!O95</f>
        <v>0</v>
      </c>
      <c r="M87" s="856">
        <f>SUM(C87:L87)</f>
        <v>35</v>
      </c>
      <c r="N87" s="276"/>
      <c r="O87" s="302"/>
      <c r="P87" s="306" t="str">
        <f t="array" aca="1" ref="P87" ca="1">HYPERLINK(CELL("адрес",Исходные!B95),"перейти")</f>
        <v>перейти</v>
      </c>
    </row>
    <row r="88" spans="1:17">
      <c r="A88" s="843" t="s">
        <v>1206</v>
      </c>
      <c r="B88" s="326" t="s">
        <v>533</v>
      </c>
      <c r="C88" s="284">
        <f>Персонал!F14</f>
        <v>140</v>
      </c>
      <c r="D88" s="284">
        <f>Персонал!G14</f>
        <v>147</v>
      </c>
      <c r="E88" s="284">
        <f>Персонал!H14</f>
        <v>156</v>
      </c>
      <c r="F88" s="284">
        <f>Персонал!I14</f>
        <v>164</v>
      </c>
      <c r="G88" s="284">
        <f>Персонал!J14</f>
        <v>174</v>
      </c>
      <c r="H88" s="284">
        <f>Персонал!K14</f>
        <v>183</v>
      </c>
      <c r="I88" s="284">
        <f>Персонал!L14</f>
        <v>194</v>
      </c>
      <c r="J88" s="284">
        <f>Персонал!M14</f>
        <v>204</v>
      </c>
      <c r="K88" s="284">
        <f>Персонал!N14</f>
        <v>216</v>
      </c>
      <c r="L88" s="284">
        <f>Персонал!O14</f>
        <v>228</v>
      </c>
      <c r="M88" s="276"/>
      <c r="N88" s="276"/>
      <c r="O88" s="302"/>
      <c r="P88" s="306" t="str">
        <f t="array" aca="1" ref="P88" ca="1">HYPERLINK(CELL("адрес",Персонал!B14),"перейти")</f>
        <v>перейти</v>
      </c>
    </row>
    <row r="89" spans="1:17">
      <c r="A89" s="843"/>
      <c r="B89" s="276"/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6"/>
      <c r="O89" s="302"/>
      <c r="P89" s="305"/>
    </row>
    <row r="90" spans="1:17">
      <c r="A90" s="855" t="s">
        <v>1207</v>
      </c>
      <c r="B90" s="313" t="s">
        <v>537</v>
      </c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302"/>
      <c r="P90" s="305"/>
    </row>
    <row r="91" spans="1:17">
      <c r="A91" s="843" t="s">
        <v>1208</v>
      </c>
      <c r="B91" s="315" t="s">
        <v>538</v>
      </c>
      <c r="C91" s="336">
        <f ca="1">SUM(C101:L101)</f>
        <v>0</v>
      </c>
      <c r="D91" s="338" t="s">
        <v>539</v>
      </c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302"/>
      <c r="P91" s="305"/>
    </row>
    <row r="92" spans="1:17">
      <c r="A92" s="843" t="s">
        <v>1209</v>
      </c>
      <c r="B92" s="315" t="s">
        <v>540</v>
      </c>
      <c r="C92" s="337">
        <f>Макро!F19</f>
        <v>0.245</v>
      </c>
      <c r="D92" s="338" t="s">
        <v>27</v>
      </c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302"/>
      <c r="P92" s="306" t="str">
        <f t="array" aca="1" ref="P92" ca="1">HYPERLINK(CELL("адрес",Макро!F19),"перейти")</f>
        <v>перейти</v>
      </c>
    </row>
    <row r="93" spans="1:17">
      <c r="A93" s="843" t="s">
        <v>1210</v>
      </c>
      <c r="B93" s="315" t="s">
        <v>541</v>
      </c>
      <c r="C93" s="338">
        <v>10</v>
      </c>
      <c r="D93" s="338" t="s">
        <v>131</v>
      </c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302"/>
      <c r="P93" s="305"/>
    </row>
    <row r="94" spans="1:17">
      <c r="A94" s="843" t="s">
        <v>1211</v>
      </c>
      <c r="B94" s="315" t="s">
        <v>542</v>
      </c>
      <c r="C94" s="337" t="e">
        <f>C12/C11</f>
        <v>#DIV/0!</v>
      </c>
      <c r="D94" s="338" t="s">
        <v>543</v>
      </c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302"/>
      <c r="P94" s="305"/>
    </row>
    <row r="95" spans="1:17">
      <c r="A95" s="843" t="s">
        <v>1212</v>
      </c>
      <c r="B95" s="315" t="s">
        <v>544</v>
      </c>
      <c r="C95" s="338" t="s">
        <v>545</v>
      </c>
      <c r="D95" s="338"/>
      <c r="E95" s="276"/>
      <c r="F95" s="276"/>
      <c r="G95" s="276"/>
      <c r="H95" s="276"/>
      <c r="I95" s="276"/>
      <c r="J95" s="276"/>
      <c r="K95" s="276"/>
      <c r="L95" s="276"/>
      <c r="M95" s="276"/>
      <c r="N95" s="276"/>
      <c r="O95" s="302"/>
      <c r="P95" s="305"/>
    </row>
    <row r="96" spans="1:17">
      <c r="A96" s="843" t="s">
        <v>1213</v>
      </c>
      <c r="B96" s="315" t="s">
        <v>546</v>
      </c>
      <c r="C96" s="338" t="str">
        <f>CONCATENATE(Финансы!F3,"-",Финансы!O3)</f>
        <v>2025-2034</v>
      </c>
      <c r="D96" s="338" t="s">
        <v>547</v>
      </c>
      <c r="E96" s="285"/>
      <c r="F96" s="276"/>
      <c r="G96" s="276"/>
      <c r="H96" s="276"/>
      <c r="I96" s="276"/>
      <c r="J96" s="276"/>
      <c r="K96" s="276"/>
      <c r="L96" s="276"/>
      <c r="M96" s="276"/>
      <c r="N96" s="276"/>
      <c r="O96" s="302"/>
      <c r="P96" s="305"/>
    </row>
    <row r="97" spans="1:17">
      <c r="A97" s="843"/>
      <c r="B97" s="276"/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302"/>
      <c r="P97" s="305"/>
    </row>
    <row r="98" spans="1:17">
      <c r="A98" s="843"/>
      <c r="B98" s="276"/>
      <c r="C98" s="276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302"/>
      <c r="P98" s="305"/>
    </row>
    <row r="99" spans="1:17">
      <c r="A99" s="855" t="s">
        <v>1214</v>
      </c>
      <c r="B99" s="313" t="s">
        <v>592</v>
      </c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302"/>
      <c r="P99" s="305"/>
    </row>
    <row r="100" spans="1:17">
      <c r="A100" s="843"/>
      <c r="B100" s="327"/>
      <c r="C100" s="277">
        <v>2025</v>
      </c>
      <c r="D100" s="277">
        <v>2026</v>
      </c>
      <c r="E100" s="277">
        <v>2027</v>
      </c>
      <c r="F100" s="277">
        <v>2028</v>
      </c>
      <c r="G100" s="277">
        <v>2029</v>
      </c>
      <c r="H100" s="277">
        <v>2030</v>
      </c>
      <c r="I100" s="277">
        <v>2031</v>
      </c>
      <c r="J100" s="277">
        <v>2032</v>
      </c>
      <c r="K100" s="277">
        <v>2033</v>
      </c>
      <c r="L100" s="277">
        <v>2034</v>
      </c>
      <c r="M100" s="300" t="s">
        <v>508</v>
      </c>
      <c r="N100" s="276"/>
      <c r="O100" s="302"/>
      <c r="P100" s="305"/>
    </row>
    <row r="101" spans="1:17">
      <c r="A101" s="843" t="s">
        <v>1215</v>
      </c>
      <c r="B101" s="315" t="s">
        <v>534</v>
      </c>
      <c r="C101" s="879">
        <f ca="1">ROUND(Финансы!F22/1000,2)</f>
        <v>0</v>
      </c>
      <c r="D101" s="879">
        <f ca="1">ROUND(Финансы!G22/1000,2)</f>
        <v>0</v>
      </c>
      <c r="E101" s="879">
        <f ca="1">ROUND(Финансы!H22/1000,2)</f>
        <v>0</v>
      </c>
      <c r="F101" s="879">
        <f ca="1">ROUND(Финансы!I22/1000,2)</f>
        <v>0</v>
      </c>
      <c r="G101" s="879">
        <f ca="1">ROUND(Финансы!J22/1000,2)</f>
        <v>0</v>
      </c>
      <c r="H101" s="879">
        <f ca="1">ROUND(Финансы!K22/1000,2)</f>
        <v>0</v>
      </c>
      <c r="I101" s="879">
        <f ca="1">ROUND(Финансы!L22/1000,2)</f>
        <v>0</v>
      </c>
      <c r="J101" s="879">
        <f ca="1">ROUND(Финансы!M22/1000,2)</f>
        <v>0</v>
      </c>
      <c r="K101" s="879">
        <f ca="1">ROUND(Финансы!N22/1000,2)</f>
        <v>0</v>
      </c>
      <c r="L101" s="879">
        <f ca="1">ROUND(Финансы!O22/1000,2)</f>
        <v>0</v>
      </c>
      <c r="M101" s="880">
        <f ca="1">SUM(C101:L101)</f>
        <v>0</v>
      </c>
      <c r="N101" s="276"/>
      <c r="O101" s="302"/>
      <c r="P101" s="306" t="str">
        <f t="array" aca="1" ref="P101" ca="1">HYPERLINK(CELL("адрес",Финансы!B22),"перейти")</f>
        <v>перейти</v>
      </c>
    </row>
    <row r="102" spans="1:17">
      <c r="A102" s="843" t="s">
        <v>1216</v>
      </c>
      <c r="B102" s="315" t="s">
        <v>535</v>
      </c>
      <c r="C102" s="879">
        <f ca="1">ROUND(Финансы!F23/1000,2)</f>
        <v>0</v>
      </c>
      <c r="D102" s="879">
        <f ca="1">ROUND(Финансы!G23/1000,2)</f>
        <v>0</v>
      </c>
      <c r="E102" s="879">
        <f ca="1">ROUND(Финансы!H23/1000,2)</f>
        <v>0</v>
      </c>
      <c r="F102" s="879">
        <f ca="1">ROUND(Финансы!I23/1000,2)</f>
        <v>0</v>
      </c>
      <c r="G102" s="879">
        <f ca="1">ROUND(Финансы!J23/1000,2)</f>
        <v>0</v>
      </c>
      <c r="H102" s="879">
        <f ca="1">ROUND(Финансы!K23/1000,2)</f>
        <v>0</v>
      </c>
      <c r="I102" s="879">
        <f ca="1">ROUND(Финансы!L23/1000,2)</f>
        <v>0</v>
      </c>
      <c r="J102" s="879">
        <f ca="1">ROUND(Финансы!M23/1000,2)</f>
        <v>0</v>
      </c>
      <c r="K102" s="879">
        <f ca="1">ROUND(Финансы!N23/1000,2)</f>
        <v>0</v>
      </c>
      <c r="L102" s="879">
        <f ca="1">ROUND(Финансы!O23/1000,2)</f>
        <v>0</v>
      </c>
      <c r="M102" s="880">
        <f ca="1">SUM(C102:L102)</f>
        <v>0</v>
      </c>
      <c r="N102" s="276"/>
      <c r="O102" s="302"/>
      <c r="P102" s="306" t="str">
        <f t="array" aca="1" ref="P102" ca="1">HYPERLINK(CELL("адрес",Финансы!B23),"перейти")</f>
        <v>перейти</v>
      </c>
      <c r="Q102" s="305"/>
    </row>
    <row r="103" spans="1:17">
      <c r="A103" s="843" t="s">
        <v>1217</v>
      </c>
      <c r="B103" s="315" t="s">
        <v>536</v>
      </c>
      <c r="C103" s="879">
        <f ca="1">ROUND(Финансы!F25/1000,2)</f>
        <v>0</v>
      </c>
      <c r="D103" s="879">
        <f ca="1">ROUND(Финансы!G25/1000,2)</f>
        <v>0</v>
      </c>
      <c r="E103" s="879">
        <f ca="1">ROUND(Финансы!H25/1000,2)</f>
        <v>0</v>
      </c>
      <c r="F103" s="879">
        <f ca="1">ROUND(Финансы!I25/1000,2)</f>
        <v>0</v>
      </c>
      <c r="G103" s="879">
        <f ca="1">ROUND(Финансы!J25/1000,2)</f>
        <v>0</v>
      </c>
      <c r="H103" s="879">
        <f ca="1">ROUND(Финансы!K25/1000,2)</f>
        <v>0</v>
      </c>
      <c r="I103" s="879">
        <f ca="1">ROUND(Финансы!L25/1000,2)</f>
        <v>0</v>
      </c>
      <c r="J103" s="879">
        <f ca="1">ROUND(Финансы!M25/1000,2)</f>
        <v>0</v>
      </c>
      <c r="K103" s="879">
        <f ca="1">ROUND(Финансы!N25/1000,2)</f>
        <v>0</v>
      </c>
      <c r="L103" s="879">
        <f ca="1">ROUND(Финансы!O25/1000,2)</f>
        <v>0</v>
      </c>
      <c r="M103" s="880">
        <f ca="1">SUM(C103:L103)</f>
        <v>0</v>
      </c>
      <c r="N103" s="276"/>
      <c r="O103" s="302"/>
      <c r="P103" s="306" t="str">
        <f t="array" aca="1" ref="P103" ca="1">HYPERLINK(CELL("адрес",Финансы!B25),"перейти")</f>
        <v>перейти</v>
      </c>
      <c r="Q103" s="305"/>
    </row>
    <row r="104" spans="1:17">
      <c r="A104" s="844"/>
      <c r="B104" s="328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76"/>
      <c r="N104" s="276"/>
      <c r="O104" s="302"/>
      <c r="P104" s="305"/>
      <c r="Q104" s="305"/>
    </row>
    <row r="105" spans="1:17">
      <c r="A105" s="844"/>
      <c r="B105" s="329"/>
      <c r="C105" s="329"/>
      <c r="D105" s="329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302"/>
      <c r="P105" s="305"/>
      <c r="Q105" s="305"/>
    </row>
    <row r="106" spans="1:17">
      <c r="A106" s="844"/>
      <c r="B106" s="276"/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  <c r="O106" s="302"/>
      <c r="P106" s="305"/>
      <c r="Q106" s="305"/>
    </row>
    <row r="107" spans="1:17">
      <c r="A107" s="846" t="s">
        <v>1218</v>
      </c>
      <c r="B107" s="330" t="s">
        <v>548</v>
      </c>
      <c r="C107" s="961" t="s">
        <v>549</v>
      </c>
      <c r="D107" s="961"/>
      <c r="E107" s="961"/>
      <c r="F107" s="961"/>
      <c r="G107" s="961"/>
      <c r="H107" s="961"/>
      <c r="I107" s="961"/>
      <c r="J107" s="961"/>
      <c r="K107" s="961"/>
      <c r="L107" s="961"/>
      <c r="M107" s="962" t="s">
        <v>448</v>
      </c>
      <c r="N107" s="276"/>
      <c r="O107" s="302"/>
      <c r="P107" s="305"/>
      <c r="Q107" s="305"/>
    </row>
    <row r="108" spans="1:17" ht="15.75" customHeight="1">
      <c r="A108" s="844"/>
      <c r="B108" s="331" t="s">
        <v>550</v>
      </c>
      <c r="C108" s="287">
        <v>2025</v>
      </c>
      <c r="D108" s="287">
        <v>2026</v>
      </c>
      <c r="E108" s="287">
        <v>2027</v>
      </c>
      <c r="F108" s="287">
        <v>2028</v>
      </c>
      <c r="G108" s="287">
        <v>2029</v>
      </c>
      <c r="H108" s="287">
        <v>2030</v>
      </c>
      <c r="I108" s="287">
        <v>2031</v>
      </c>
      <c r="J108" s="287">
        <v>2032</v>
      </c>
      <c r="K108" s="287">
        <v>2033</v>
      </c>
      <c r="L108" s="287">
        <v>2034</v>
      </c>
      <c r="M108" s="963"/>
      <c r="N108" s="276"/>
      <c r="O108" s="302"/>
      <c r="P108" s="305"/>
      <c r="Q108" s="305"/>
    </row>
    <row r="109" spans="1:17">
      <c r="A109" s="844"/>
      <c r="B109" s="288">
        <v>1</v>
      </c>
      <c r="C109" s="288">
        <v>2</v>
      </c>
      <c r="D109" s="288">
        <v>3</v>
      </c>
      <c r="E109" s="288">
        <v>4</v>
      </c>
      <c r="F109" s="288">
        <v>5</v>
      </c>
      <c r="G109" s="288">
        <v>6</v>
      </c>
      <c r="H109" s="288">
        <v>7</v>
      </c>
      <c r="I109" s="288">
        <v>8</v>
      </c>
      <c r="J109" s="288">
        <v>9</v>
      </c>
      <c r="K109" s="288">
        <v>10</v>
      </c>
      <c r="L109" s="288">
        <v>11</v>
      </c>
      <c r="M109" s="288">
        <v>12</v>
      </c>
      <c r="N109" s="276"/>
      <c r="O109" s="302"/>
      <c r="P109" s="305"/>
      <c r="Q109" s="305"/>
    </row>
    <row r="110" spans="1:17" ht="76.5">
      <c r="A110" s="845" t="s">
        <v>1219</v>
      </c>
      <c r="B110" s="331" t="s">
        <v>551</v>
      </c>
      <c r="C110" s="881">
        <f t="shared" ref="C110:L110" si="7">C50</f>
        <v>0</v>
      </c>
      <c r="D110" s="881">
        <f t="shared" si="7"/>
        <v>0</v>
      </c>
      <c r="E110" s="881">
        <f t="shared" si="7"/>
        <v>0</v>
      </c>
      <c r="F110" s="881">
        <f t="shared" si="7"/>
        <v>0</v>
      </c>
      <c r="G110" s="881">
        <f t="shared" si="7"/>
        <v>0</v>
      </c>
      <c r="H110" s="881">
        <f t="shared" si="7"/>
        <v>0</v>
      </c>
      <c r="I110" s="881">
        <f t="shared" si="7"/>
        <v>0</v>
      </c>
      <c r="J110" s="881">
        <f t="shared" si="7"/>
        <v>0</v>
      </c>
      <c r="K110" s="881">
        <f t="shared" si="7"/>
        <v>0</v>
      </c>
      <c r="L110" s="881">
        <f t="shared" si="7"/>
        <v>0</v>
      </c>
      <c r="M110" s="882">
        <f t="shared" ref="M110:M115" si="8">SUM(C110:L110)</f>
        <v>0</v>
      </c>
      <c r="N110" s="883"/>
      <c r="O110" s="884"/>
      <c r="P110" s="306" t="s">
        <v>569</v>
      </c>
      <c r="Q110" s="276"/>
    </row>
    <row r="111" spans="1:17" ht="51">
      <c r="A111" s="845" t="s">
        <v>1220</v>
      </c>
      <c r="B111" s="331" t="s">
        <v>552</v>
      </c>
      <c r="C111" s="881">
        <f t="shared" ref="C111:L111" si="9">C110</f>
        <v>0</v>
      </c>
      <c r="D111" s="881">
        <f t="shared" si="9"/>
        <v>0</v>
      </c>
      <c r="E111" s="881">
        <f t="shared" si="9"/>
        <v>0</v>
      </c>
      <c r="F111" s="881">
        <f t="shared" si="9"/>
        <v>0</v>
      </c>
      <c r="G111" s="881">
        <f t="shared" si="9"/>
        <v>0</v>
      </c>
      <c r="H111" s="881">
        <f t="shared" si="9"/>
        <v>0</v>
      </c>
      <c r="I111" s="881">
        <f t="shared" si="9"/>
        <v>0</v>
      </c>
      <c r="J111" s="881">
        <f t="shared" si="9"/>
        <v>0</v>
      </c>
      <c r="K111" s="881">
        <f t="shared" si="9"/>
        <v>0</v>
      </c>
      <c r="L111" s="881">
        <f t="shared" si="9"/>
        <v>0</v>
      </c>
      <c r="M111" s="882">
        <f t="shared" si="8"/>
        <v>0</v>
      </c>
      <c r="N111" s="883"/>
      <c r="O111" s="884"/>
      <c r="P111" s="305"/>
      <c r="Q111" s="305"/>
    </row>
    <row r="112" spans="1:17" ht="25.5">
      <c r="A112" s="845" t="s">
        <v>1221</v>
      </c>
      <c r="B112" s="331" t="s">
        <v>553</v>
      </c>
      <c r="C112" s="289">
        <f t="shared" ref="C112:L112" si="10">C87</f>
        <v>12</v>
      </c>
      <c r="D112" s="289">
        <f t="shared" si="10"/>
        <v>0</v>
      </c>
      <c r="E112" s="289">
        <f t="shared" si="10"/>
        <v>0</v>
      </c>
      <c r="F112" s="289">
        <f t="shared" si="10"/>
        <v>0</v>
      </c>
      <c r="G112" s="289">
        <f t="shared" si="10"/>
        <v>0</v>
      </c>
      <c r="H112" s="289">
        <f t="shared" si="10"/>
        <v>0</v>
      </c>
      <c r="I112" s="289">
        <f t="shared" si="10"/>
        <v>23</v>
      </c>
      <c r="J112" s="289">
        <f t="shared" si="10"/>
        <v>0</v>
      </c>
      <c r="K112" s="289">
        <f t="shared" si="10"/>
        <v>0</v>
      </c>
      <c r="L112" s="289">
        <f t="shared" si="10"/>
        <v>0</v>
      </c>
      <c r="M112" s="301">
        <f t="shared" si="8"/>
        <v>35</v>
      </c>
      <c r="N112" s="276"/>
      <c r="O112" s="302"/>
      <c r="P112" s="306" t="s">
        <v>569</v>
      </c>
      <c r="Q112" s="305"/>
    </row>
    <row r="113" spans="1:17" ht="51">
      <c r="A113" s="845" t="s">
        <v>1222</v>
      </c>
      <c r="B113" s="331" t="s">
        <v>554</v>
      </c>
      <c r="C113" s="881">
        <f t="shared" ref="C113:L113" si="11">C66</f>
        <v>110</v>
      </c>
      <c r="D113" s="881">
        <f t="shared" si="11"/>
        <v>120.64</v>
      </c>
      <c r="E113" s="881">
        <f t="shared" si="11"/>
        <v>131.96</v>
      </c>
      <c r="F113" s="881">
        <f t="shared" si="11"/>
        <v>148.47999999999999</v>
      </c>
      <c r="G113" s="881">
        <f t="shared" si="11"/>
        <v>157.93</v>
      </c>
      <c r="H113" s="881">
        <f t="shared" si="11"/>
        <v>164.25</v>
      </c>
      <c r="I113" s="881">
        <f t="shared" si="11"/>
        <v>170.82</v>
      </c>
      <c r="J113" s="881">
        <f t="shared" si="11"/>
        <v>177.65</v>
      </c>
      <c r="K113" s="881">
        <f t="shared" si="11"/>
        <v>184.76</v>
      </c>
      <c r="L113" s="881">
        <f t="shared" si="11"/>
        <v>192.15</v>
      </c>
      <c r="M113" s="882">
        <f t="shared" si="8"/>
        <v>1558.64</v>
      </c>
      <c r="N113" s="276"/>
      <c r="O113" s="302"/>
      <c r="P113" s="306" t="s">
        <v>569</v>
      </c>
      <c r="Q113" s="305"/>
    </row>
    <row r="114" spans="1:17" ht="63.75">
      <c r="A114" s="845" t="s">
        <v>1223</v>
      </c>
      <c r="B114" s="331" t="s">
        <v>555</v>
      </c>
      <c r="C114" s="885">
        <f ca="1">ROUND((НалогСвод!F5-НалогСвод!F12)/1000,2)</f>
        <v>10.64</v>
      </c>
      <c r="D114" s="885">
        <f ca="1">ROUND((НалогСвод!G5-НалогСвод!G12)/1000,2)</f>
        <v>11.63</v>
      </c>
      <c r="E114" s="885">
        <f ca="1">ROUND((НалогСвод!H5-НалогСвод!H12)/1000,2)</f>
        <v>12.74</v>
      </c>
      <c r="F114" s="885">
        <f ca="1">ROUND((НалогСвод!I5-НалогСвод!I12)/1000,2)</f>
        <v>14.2</v>
      </c>
      <c r="G114" s="885">
        <f ca="1">ROUND((НалогСвод!J5-НалогСвод!J12)/1000,2)</f>
        <v>15.18</v>
      </c>
      <c r="H114" s="885">
        <f ca="1">ROUND((НалогСвод!K5-НалогСвод!K12)/1000,2)</f>
        <v>15.84</v>
      </c>
      <c r="I114" s="885">
        <f ca="1">ROUND((НалогСвод!L5-НалогСвод!L12)/1000,2)</f>
        <v>16.54</v>
      </c>
      <c r="J114" s="885">
        <f ca="1">ROUND((НалогСвод!M5-НалогСвод!M12)/1000,2)</f>
        <v>17.260000000000002</v>
      </c>
      <c r="K114" s="885">
        <f ca="1">ROUND((НалогСвод!N5-НалогСвод!N12)/1000,2)</f>
        <v>18.02</v>
      </c>
      <c r="L114" s="885">
        <f ca="1">ROUND((НалогСвод!O5-НалогСвод!O12)/1000,2)</f>
        <v>18.82</v>
      </c>
      <c r="M114" s="882">
        <f t="shared" ca="1" si="8"/>
        <v>150.87</v>
      </c>
      <c r="N114" s="276"/>
      <c r="O114" s="302"/>
      <c r="P114" s="306" t="str">
        <f t="array" aca="1" ref="P114" ca="1">HYPERLINK(CELL("адрес",НалогСвод!B5),"перейти")</f>
        <v>перейти</v>
      </c>
      <c r="Q114" s="305"/>
    </row>
    <row r="115" spans="1:17" ht="25.5">
      <c r="A115" s="845" t="s">
        <v>1224</v>
      </c>
      <c r="B115" s="331" t="s">
        <v>556</v>
      </c>
      <c r="C115" s="290" t="s">
        <v>134</v>
      </c>
      <c r="D115" s="290" t="s">
        <v>134</v>
      </c>
      <c r="E115" s="290" t="s">
        <v>134</v>
      </c>
      <c r="F115" s="290" t="s">
        <v>134</v>
      </c>
      <c r="G115" s="290" t="s">
        <v>134</v>
      </c>
      <c r="H115" s="290" t="s">
        <v>134</v>
      </c>
      <c r="I115" s="290" t="s">
        <v>134</v>
      </c>
      <c r="J115" s="290" t="s">
        <v>134</v>
      </c>
      <c r="K115" s="290" t="s">
        <v>134</v>
      </c>
      <c r="L115" s="290" t="s">
        <v>134</v>
      </c>
      <c r="M115" s="301">
        <f t="shared" si="8"/>
        <v>0</v>
      </c>
      <c r="N115" s="276"/>
      <c r="O115" s="302"/>
      <c r="P115" s="305"/>
      <c r="Q115" s="305"/>
    </row>
    <row r="116" spans="1:17" ht="18.75">
      <c r="A116" s="845"/>
      <c r="B116" s="332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276"/>
      <c r="O116" s="302"/>
      <c r="P116" s="305"/>
      <c r="Q116" s="305"/>
    </row>
    <row r="117" spans="1:17"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302"/>
      <c r="P117" s="305"/>
      <c r="Q117" s="305"/>
    </row>
  </sheetData>
  <mergeCells count="7">
    <mergeCell ref="C107:L107"/>
    <mergeCell ref="M107:M108"/>
    <mergeCell ref="C13:D13"/>
    <mergeCell ref="C12:D12"/>
    <mergeCell ref="C14:D14"/>
    <mergeCell ref="C15:D15"/>
    <mergeCell ref="C16:D16"/>
  </mergeCells>
  <hyperlinks>
    <hyperlink ref="P11" location="ИтогТаблицы!M116" display="перейти"/>
    <hyperlink ref="P12" location="ИтогТаблицы!M112" display="перейти"/>
    <hyperlink ref="P15" location="ИтогТаблицы!M113" display="перейти"/>
    <hyperlink ref="P110" location="ИтогТаблицы!A46" display="перейти"/>
    <hyperlink ref="P112" location="ИтогТаблицы!A82" display="перейти"/>
    <hyperlink ref="P113" location="ИтогТаблицы!A62" display="перейти"/>
  </hyperlinks>
  <pageMargins left="0.70866141732283472" right="0.70866141732283472" top="0.74803149606299213" bottom="0.74803149606299213" header="0.31496062992125984" footer="0.31496062992125984"/>
  <pageSetup paperSize="9" scale="92" fitToHeight="16" orientation="landscape" r:id="rId1"/>
  <headerFooter>
    <oddFooter>&amp;C&amp;9&amp;P из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outlinePr summaryRight="0"/>
    <pageSetUpPr fitToPage="1"/>
  </sheetPr>
  <dimension ref="A1:F3"/>
  <sheetViews>
    <sheetView zoomScale="85" zoomScaleNormal="85" workbookViewId="0">
      <pane ySplit="3" topLeftCell="A4" activePane="bottomLeft" state="frozen"/>
      <selection activeCell="C1" sqref="C1"/>
      <selection pane="bottomLeft" activeCell="E32" sqref="E32"/>
    </sheetView>
  </sheetViews>
  <sheetFormatPr defaultColWidth="0" defaultRowHeight="15"/>
  <cols>
    <col min="1" max="1" width="25.42578125" style="344" customWidth="1"/>
    <col min="2" max="2" width="11.140625" style="342" customWidth="1"/>
    <col min="3" max="3" width="135.42578125" style="342" customWidth="1"/>
    <col min="4" max="4" width="13.5703125" style="342" customWidth="1"/>
    <col min="5" max="5" width="19.5703125" style="344" customWidth="1"/>
    <col min="6" max="6" width="2.140625" style="342" customWidth="1"/>
    <col min="7" max="16384" width="8.85546875" style="342" hidden="1"/>
  </cols>
  <sheetData>
    <row r="1" spans="1:5" ht="18.75">
      <c r="A1" s="651" t="s">
        <v>871</v>
      </c>
      <c r="D1" s="343"/>
    </row>
    <row r="2" spans="1:5" ht="17.649999999999999" customHeight="1">
      <c r="A2" s="341" t="str">
        <f>Паспорт_ФМ_резидент!B7</f>
        <v>Разработка, производство, модернизация и реализация …</v>
      </c>
    </row>
    <row r="3" spans="1:5" ht="9.6" customHeight="1">
      <c r="A3" s="72"/>
      <c r="B3" s="72"/>
      <c r="C3" s="74"/>
      <c r="D3" s="72"/>
      <c r="E3" s="7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&amp;C&amp;9Страница  &amp;P из &amp;N&amp;R&amp;G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outlinePr summaryRight="0"/>
    <pageSetUpPr fitToPage="1"/>
  </sheetPr>
  <dimension ref="A1:F163"/>
  <sheetViews>
    <sheetView zoomScale="85" zoomScaleNormal="85" workbookViewId="0">
      <pane ySplit="3" topLeftCell="A4" activePane="bottomLeft" state="frozen"/>
      <selection activeCell="C1" sqref="C1"/>
      <selection pane="bottomLeft"/>
    </sheetView>
  </sheetViews>
  <sheetFormatPr defaultColWidth="0" defaultRowHeight="15"/>
  <cols>
    <col min="1" max="1" width="25.42578125" style="344" customWidth="1"/>
    <col min="2" max="2" width="11.140625" style="342" customWidth="1"/>
    <col min="3" max="3" width="135.42578125" style="342" customWidth="1"/>
    <col min="4" max="4" width="13.5703125" style="342" customWidth="1"/>
    <col min="5" max="5" width="19.5703125" style="344" customWidth="1"/>
    <col min="6" max="6" width="2.140625" style="342" customWidth="1"/>
    <col min="7" max="16384" width="8.85546875" style="342" hidden="1"/>
  </cols>
  <sheetData>
    <row r="1" spans="1:5" ht="18.75">
      <c r="A1" s="651" t="s">
        <v>872</v>
      </c>
      <c r="D1" s="343"/>
    </row>
    <row r="2" spans="1:5" ht="17.649999999999999" customHeight="1">
      <c r="A2" s="341" t="str">
        <f>Паспорт_ФМ_резидент!B7</f>
        <v>Разработка, производство, модернизация и реализация …</v>
      </c>
    </row>
    <row r="3" spans="1:5" ht="9.6" customHeight="1">
      <c r="A3" s="72"/>
      <c r="B3" s="72"/>
      <c r="C3" s="74"/>
      <c r="D3" s="72"/>
      <c r="E3" s="72"/>
    </row>
    <row r="5" spans="1:5" s="692" customFormat="1" ht="15.75">
      <c r="A5" s="346" t="str">
        <f t="array" aca="1" ref="A5" ca="1">HYPERLINK(CELL("адрес",БДР!$A$1),"источник")</f>
        <v>источник</v>
      </c>
      <c r="B5" s="345" t="s">
        <v>599</v>
      </c>
      <c r="C5" s="345"/>
      <c r="D5" s="345"/>
      <c r="E5" s="345"/>
    </row>
    <row r="24" spans="1:5" s="692" customFormat="1" ht="15.75">
      <c r="A24" s="346" t="str">
        <f t="array" aca="1" ref="A24" ca="1">HYPERLINK(CELL("адрес",БДДС!$A$1),"источник")</f>
        <v>источник</v>
      </c>
      <c r="B24" s="345" t="s">
        <v>600</v>
      </c>
      <c r="C24" s="345"/>
      <c r="D24" s="345"/>
      <c r="E24" s="345"/>
    </row>
    <row r="43" spans="1:5" s="692" customFormat="1" ht="15.75">
      <c r="A43" s="346" t="str">
        <f t="array" aca="1" ref="A43" ca="1">HYPERLINK(CELL("адрес",Баланс!$A$1),"источник")</f>
        <v>источник</v>
      </c>
      <c r="B43" s="345" t="s">
        <v>702</v>
      </c>
      <c r="C43" s="345"/>
      <c r="D43" s="345"/>
      <c r="E43" s="345"/>
    </row>
    <row r="63" spans="1:5" s="692" customFormat="1" ht="15.75">
      <c r="A63" s="346" t="str">
        <f t="array" aca="1" ref="A63" ca="1">HYPERLINK(CELL("адрес",Инвестиции!A1),"источник")</f>
        <v>источник</v>
      </c>
      <c r="B63" s="345" t="s">
        <v>720</v>
      </c>
      <c r="C63" s="345"/>
      <c r="D63" s="345"/>
      <c r="E63" s="345"/>
    </row>
    <row r="82" spans="1:5" s="692" customFormat="1" ht="15.75">
      <c r="A82" s="346" t="str">
        <f t="array" aca="1" ref="A82" ca="1">HYPERLINK(CELL("адрес",Финансы!$A$1),"источник")</f>
        <v>источник</v>
      </c>
      <c r="B82" s="345" t="s">
        <v>741</v>
      </c>
      <c r="C82" s="345"/>
      <c r="D82" s="345"/>
      <c r="E82" s="345"/>
    </row>
    <row r="102" spans="1:5" s="692" customFormat="1" ht="15.75">
      <c r="A102" s="346" t="str">
        <f t="array" aca="1" ref="A102" ca="1">HYPERLINK(CELL("адрес",Выручка!$A$1),"источник")</f>
        <v>источник</v>
      </c>
      <c r="B102" s="345" t="s">
        <v>443</v>
      </c>
      <c r="C102" s="345"/>
      <c r="D102" s="345"/>
      <c r="E102" s="345"/>
    </row>
    <row r="123" spans="1:5" s="692" customFormat="1" ht="15.75">
      <c r="A123" s="346" t="str">
        <f t="array" aca="1" ref="A123" ca="1">HYPERLINK(CELL("адрес",Ресурсы!$A$1),"источник")</f>
        <v>источник</v>
      </c>
      <c r="B123" s="345" t="s">
        <v>717</v>
      </c>
      <c r="C123" s="345"/>
      <c r="D123" s="345"/>
      <c r="E123" s="345"/>
    </row>
    <row r="143" spans="1:5" s="692" customFormat="1" ht="15.75">
      <c r="A143" s="346" t="str">
        <f t="array" aca="1" ref="A143" ca="1">HYPERLINK(CELL("адрес",Персонал!A1),"источник")</f>
        <v>источник</v>
      </c>
      <c r="B143" s="345" t="s">
        <v>719</v>
      </c>
      <c r="C143" s="345"/>
      <c r="D143" s="345"/>
      <c r="E143" s="345"/>
    </row>
    <row r="163" spans="1:5" s="692" customFormat="1" ht="15.75">
      <c r="A163" s="346" t="str">
        <f t="array" aca="1" ref="A163" ca="1">HYPERLINK(CELL("адрес",КПЭ!$A$1),"источник")</f>
        <v>источник</v>
      </c>
      <c r="B163" s="345" t="s">
        <v>718</v>
      </c>
      <c r="C163" s="345"/>
      <c r="D163" s="345"/>
      <c r="E163" s="34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fitToHeight="6" orientation="landscape" r:id="rId1"/>
  <headerFooter>
    <oddFooter>&amp;C&amp;9Страница  &amp;P из &amp;N&amp;R&amp;G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5" tint="0.79998168889431442"/>
    <outlinePr summaryRight="0"/>
    <pageSetUpPr fitToPage="1"/>
  </sheetPr>
  <dimension ref="A1:AD65"/>
  <sheetViews>
    <sheetView zoomScaleNormal="100" workbookViewId="0">
      <pane xSplit="4" ySplit="4" topLeftCell="E5" activePane="bottomRight" state="frozen"/>
      <selection activeCell="C1" sqref="C1"/>
      <selection pane="topRight" activeCell="C1" sqref="C1"/>
      <selection pane="bottomLeft" activeCell="C1" sqref="C1"/>
      <selection pane="bottomRight" activeCell="F29" sqref="F29"/>
    </sheetView>
  </sheetViews>
  <sheetFormatPr defaultRowHeight="15" outlineLevelCol="1"/>
  <cols>
    <col min="1" max="1" width="10.42578125" customWidth="1"/>
    <col min="2" max="2" width="33.42578125" customWidth="1"/>
    <col min="3" max="3" width="9.5703125" style="14" customWidth="1"/>
    <col min="4" max="4" width="11" style="6" customWidth="1"/>
    <col min="5" max="5" width="2.28515625" customWidth="1"/>
    <col min="6" max="6" width="10" bestFit="1" customWidth="1"/>
    <col min="11" max="11" width="11.42578125" customWidth="1"/>
    <col min="15" max="15" width="10.42578125" customWidth="1"/>
    <col min="16" max="16" width="0.8554687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27.4" customHeight="1">
      <c r="A1" s="651" t="s">
        <v>1023</v>
      </c>
      <c r="B1" s="71"/>
      <c r="C1" s="367"/>
      <c r="D1" s="124"/>
      <c r="E1" s="71"/>
      <c r="F1" s="71"/>
      <c r="G1" s="71"/>
      <c r="H1" s="71"/>
      <c r="J1" s="71"/>
      <c r="K1" s="71"/>
      <c r="L1" s="71"/>
      <c r="M1" s="151" t="str">
        <f ca="1">Контроль!$Q$1</f>
        <v>Ошибок нет</v>
      </c>
      <c r="N1" s="71"/>
      <c r="O1" s="71"/>
      <c r="P1" s="71"/>
      <c r="Q1" s="354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>
      <c r="A2" s="71" t="str">
        <f>Паспорт_ФМ_резидент!B7</f>
        <v>Разработка, производство, модернизация и реализация …</v>
      </c>
      <c r="B2" s="71"/>
      <c r="C2" s="367"/>
      <c r="D2" s="124"/>
      <c r="E2" s="71"/>
      <c r="F2" s="347">
        <v>1</v>
      </c>
      <c r="G2" s="347">
        <v>2</v>
      </c>
      <c r="H2" s="347">
        <v>3</v>
      </c>
      <c r="I2" s="347">
        <v>4</v>
      </c>
      <c r="J2" s="347">
        <v>5</v>
      </c>
      <c r="K2" s="347">
        <v>6</v>
      </c>
      <c r="L2" s="347">
        <v>7</v>
      </c>
      <c r="M2" s="347">
        <v>8</v>
      </c>
      <c r="N2" s="347">
        <v>9</v>
      </c>
      <c r="O2" s="347">
        <v>10</v>
      </c>
      <c r="P2" s="355"/>
      <c r="Q2" s="156"/>
      <c r="R2" s="355">
        <v>11</v>
      </c>
      <c r="S2" s="347">
        <f>R2+1</f>
        <v>12</v>
      </c>
      <c r="T2" s="347">
        <f>S2+1</f>
        <v>13</v>
      </c>
      <c r="U2" s="347">
        <f t="shared" ref="U2:AA3" si="0">T2+1</f>
        <v>14</v>
      </c>
      <c r="V2" s="347">
        <f t="shared" si="0"/>
        <v>15</v>
      </c>
      <c r="W2" s="347">
        <f t="shared" si="0"/>
        <v>16</v>
      </c>
      <c r="X2" s="347">
        <f t="shared" si="0"/>
        <v>17</v>
      </c>
      <c r="Y2" s="347">
        <f t="shared" si="0"/>
        <v>18</v>
      </c>
      <c r="Z2" s="347">
        <f t="shared" si="0"/>
        <v>19</v>
      </c>
      <c r="AA2" s="347">
        <f t="shared" si="0"/>
        <v>20</v>
      </c>
      <c r="AB2" s="71"/>
      <c r="AC2" s="71"/>
      <c r="AD2" s="71"/>
    </row>
    <row r="3" spans="1:30" s="18" customFormat="1" ht="28.5">
      <c r="A3" s="127"/>
      <c r="B3" s="127" t="s">
        <v>3</v>
      </c>
      <c r="C3" s="127" t="s">
        <v>12</v>
      </c>
      <c r="D3" s="194" t="str">
        <f>CONCATENATE("Итого ",F3,"-",O3)</f>
        <v>Итого 2025-2034</v>
      </c>
      <c r="E3" s="152"/>
      <c r="F3" s="766"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671"/>
      <c r="Q3" s="157"/>
      <c r="R3" s="160">
        <v>2035</v>
      </c>
      <c r="S3" s="160">
        <f>R3+1</f>
        <v>2036</v>
      </c>
      <c r="T3" s="160">
        <f>S3+1</f>
        <v>2037</v>
      </c>
      <c r="U3" s="160">
        <f t="shared" si="0"/>
        <v>2038</v>
      </c>
      <c r="V3" s="160">
        <f t="shared" si="0"/>
        <v>2039</v>
      </c>
      <c r="W3" s="160">
        <f t="shared" si="0"/>
        <v>2040</v>
      </c>
      <c r="X3" s="160">
        <f t="shared" si="0"/>
        <v>2041</v>
      </c>
      <c r="Y3" s="160">
        <f t="shared" si="0"/>
        <v>2042</v>
      </c>
      <c r="Z3" s="160">
        <f t="shared" si="0"/>
        <v>2043</v>
      </c>
      <c r="AA3" s="160">
        <f t="shared" si="0"/>
        <v>2044</v>
      </c>
      <c r="AB3" s="152"/>
      <c r="AC3" s="152"/>
      <c r="AD3" s="152"/>
    </row>
    <row r="4" spans="1:30" ht="8.1" customHeight="1">
      <c r="A4" s="704"/>
      <c r="B4" s="108"/>
      <c r="C4" s="704"/>
      <c r="D4" s="704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6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>
      <c r="A5" s="221" t="str">
        <f t="array" aca="1" ref="A5" ca="1">HYPERLINK(CELL("адрес",Выручка!A8),"источник")</f>
        <v>источник</v>
      </c>
      <c r="B5" s="361" t="s">
        <v>443</v>
      </c>
      <c r="C5" s="264" t="s">
        <v>19</v>
      </c>
      <c r="D5" s="374">
        <f>SUM(F5:O5)</f>
        <v>1558629.0695994112</v>
      </c>
      <c r="E5" s="71"/>
      <c r="F5" s="374">
        <f>Выручка!F8</f>
        <v>110000</v>
      </c>
      <c r="G5" s="374">
        <f>Выручка!G8</f>
        <v>120640</v>
      </c>
      <c r="H5" s="374">
        <f>Выручка!H8</f>
        <v>131955.20000000001</v>
      </c>
      <c r="I5" s="374">
        <f>Выручка!I8</f>
        <v>148482.04800000004</v>
      </c>
      <c r="J5" s="374">
        <f>Выручка!J8</f>
        <v>157930.90560000006</v>
      </c>
      <c r="K5" s="374">
        <f>Выручка!K8</f>
        <v>164248.14182400005</v>
      </c>
      <c r="L5" s="374">
        <f>Выручка!L8</f>
        <v>170818.06749696005</v>
      </c>
      <c r="M5" s="374">
        <f>Выручка!M8</f>
        <v>177650.79019683844</v>
      </c>
      <c r="N5" s="374">
        <f>Выручка!N8</f>
        <v>184756.82180471197</v>
      </c>
      <c r="O5" s="374">
        <f>Выручка!O8</f>
        <v>192147.09467690048</v>
      </c>
      <c r="P5" s="348"/>
      <c r="Q5" s="156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71"/>
      <c r="AC5" s="71"/>
      <c r="AD5" s="71"/>
    </row>
    <row r="6" spans="1:30" ht="28.5">
      <c r="A6" s="146"/>
      <c r="B6" s="361" t="s">
        <v>104</v>
      </c>
      <c r="C6" s="264" t="s">
        <v>19</v>
      </c>
      <c r="D6" s="374">
        <f>SUM(D7:D11)</f>
        <v>-979434.5971411739</v>
      </c>
      <c r="E6" s="71"/>
      <c r="F6" s="374">
        <f t="shared" ref="F6:O6" si="2">SUM(F7:F11)</f>
        <v>-74304.800000000003</v>
      </c>
      <c r="G6" s="374">
        <f t="shared" si="2"/>
        <v>-79697.868799999997</v>
      </c>
      <c r="H6" s="374">
        <f t="shared" si="2"/>
        <v>-84327.349452800001</v>
      </c>
      <c r="I6" s="374">
        <f t="shared" si="2"/>
        <v>-92580.023422156795</v>
      </c>
      <c r="J6" s="374">
        <f t="shared" si="2"/>
        <v>-96684.63529379759</v>
      </c>
      <c r="K6" s="374">
        <f t="shared" si="2"/>
        <v>-100975.91065265026</v>
      </c>
      <c r="L6" s="374">
        <f t="shared" si="2"/>
        <v>-105462.57486289469</v>
      </c>
      <c r="M6" s="374">
        <f t="shared" si="2"/>
        <v>-110153.77279746062</v>
      </c>
      <c r="N6" s="374">
        <f t="shared" si="2"/>
        <v>-115059.08956605202</v>
      </c>
      <c r="O6" s="374">
        <f t="shared" si="2"/>
        <v>-120188.57229336188</v>
      </c>
      <c r="P6" s="348"/>
      <c r="Q6" s="156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ht="30">
      <c r="A7" s="221" t="str">
        <f t="array" aca="1" ref="A7" ca="1">HYPERLINK(CELL("адрес",Себестоимость!A7),"источник")</f>
        <v>источник</v>
      </c>
      <c r="B7" s="705" t="s">
        <v>237</v>
      </c>
      <c r="C7" s="264" t="s">
        <v>19</v>
      </c>
      <c r="D7" s="372">
        <f>SUM(F7:O7)</f>
        <v>-619797.2775168058</v>
      </c>
      <c r="E7" s="71"/>
      <c r="F7" s="225">
        <f>-Себестоимость!F7</f>
        <v>-46000</v>
      </c>
      <c r="G7" s="225">
        <f>-Себестоимость!G7</f>
        <v>-49920</v>
      </c>
      <c r="H7" s="225">
        <f>-Себестоимость!H7</f>
        <v>-52998.399999999994</v>
      </c>
      <c r="I7" s="225">
        <f>-Себестоимость!I7</f>
        <v>-59617.792000000001</v>
      </c>
      <c r="J7" s="225">
        <f>-Себестоимость!J7</f>
        <v>-62002.503680000009</v>
      </c>
      <c r="K7" s="225">
        <f>-Себестоимость!K7</f>
        <v>-64482.603827200001</v>
      </c>
      <c r="L7" s="225">
        <f>-Себестоимость!L7</f>
        <v>-67061.907980288015</v>
      </c>
      <c r="M7" s="225">
        <f>-Себестоимость!M7</f>
        <v>-69744.384299499536</v>
      </c>
      <c r="N7" s="225">
        <f>-Себестоимость!N7</f>
        <v>-72534.159671479516</v>
      </c>
      <c r="O7" s="225">
        <f>-Себестоимость!O7</f>
        <v>-75435.526058338699</v>
      </c>
      <c r="P7" s="349"/>
      <c r="Q7" s="156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>
      <c r="A8" s="221" t="str">
        <f t="array" aca="1" ref="A8" ca="1">HYPERLINK(CELL("адрес",Ресурсы!A5),"источник")</f>
        <v>источник</v>
      </c>
      <c r="B8" s="705" t="s">
        <v>247</v>
      </c>
      <c r="C8" s="264" t="s">
        <v>19</v>
      </c>
      <c r="D8" s="372">
        <f>SUM(F8:O8)</f>
        <v>0</v>
      </c>
      <c r="E8" s="71"/>
      <c r="F8" s="225">
        <f>-Ресурсы!F5</f>
        <v>0</v>
      </c>
      <c r="G8" s="225">
        <f>-Ресурсы!G5</f>
        <v>0</v>
      </c>
      <c r="H8" s="225">
        <f>-Ресурсы!H5</f>
        <v>0</v>
      </c>
      <c r="I8" s="225">
        <f>-Ресурсы!I5</f>
        <v>0</v>
      </c>
      <c r="J8" s="225">
        <f>-Ресурсы!J5</f>
        <v>0</v>
      </c>
      <c r="K8" s="225">
        <f>-Ресурсы!K5</f>
        <v>0</v>
      </c>
      <c r="L8" s="225">
        <f>-Ресурсы!L5</f>
        <v>0</v>
      </c>
      <c r="M8" s="225">
        <f>-Ресурсы!M5</f>
        <v>0</v>
      </c>
      <c r="N8" s="225">
        <f>-Ресурсы!N5</f>
        <v>0</v>
      </c>
      <c r="O8" s="225">
        <f>-Ресурсы!O5</f>
        <v>0</v>
      </c>
      <c r="P8" s="349"/>
      <c r="Q8" s="156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ht="30">
      <c r="A9" s="221" t="str">
        <f t="array" aca="1" ref="A9" ca="1">HYPERLINK(CELL("адрес",Персонал!A45),"источник")</f>
        <v>источник</v>
      </c>
      <c r="B9" s="705" t="s">
        <v>463</v>
      </c>
      <c r="C9" s="264" t="s">
        <v>19</v>
      </c>
      <c r="D9" s="372">
        <f>SUM(F9:O9)</f>
        <v>-275594.56976365787</v>
      </c>
      <c r="E9" s="71"/>
      <c r="F9" s="135">
        <f>-Персонал!F45</f>
        <v>-21304.799999999999</v>
      </c>
      <c r="G9" s="135">
        <f>-Персонал!G45</f>
        <v>-22497.868800000004</v>
      </c>
      <c r="H9" s="135">
        <f>-Персонал!H45</f>
        <v>-23757.749452800006</v>
      </c>
      <c r="I9" s="135">
        <f>-Персонал!I45</f>
        <v>-25088.183422156802</v>
      </c>
      <c r="J9" s="135">
        <f>-Персонал!J45</f>
        <v>-26493.121693797588</v>
      </c>
      <c r="K9" s="135">
        <f>-Персонал!K45</f>
        <v>-27976.736508650254</v>
      </c>
      <c r="L9" s="135">
        <f>-Персонал!L45</f>
        <v>-29543.433753134668</v>
      </c>
      <c r="M9" s="135">
        <f>-Персонал!M45</f>
        <v>-31197.866043310212</v>
      </c>
      <c r="N9" s="135">
        <f>-Персонал!N45</f>
        <v>-32944.946541735582</v>
      </c>
      <c r="O9" s="135">
        <f>-Персонал!O45</f>
        <v>-34789.863548072775</v>
      </c>
      <c r="P9" s="675"/>
      <c r="Q9" s="156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>
      <c r="A10" s="221" t="str">
        <f t="array" aca="1" ref="A10" ca="1">HYPERLINK(CELL("адрес",Инвестиции!A16),"источник")</f>
        <v>источник</v>
      </c>
      <c r="B10" s="705" t="s">
        <v>336</v>
      </c>
      <c r="C10" s="264" t="s">
        <v>19</v>
      </c>
      <c r="D10" s="372">
        <f>SUM(F10:O10)</f>
        <v>0</v>
      </c>
      <c r="E10" s="71"/>
      <c r="F10" s="135">
        <f>-Инвестиции!F10</f>
        <v>0</v>
      </c>
      <c r="G10" s="135">
        <f>-Инвестиции!G10</f>
        <v>0</v>
      </c>
      <c r="H10" s="135">
        <f>-Инвестиции!H10</f>
        <v>0</v>
      </c>
      <c r="I10" s="135">
        <f>-Инвестиции!I10</f>
        <v>0</v>
      </c>
      <c r="J10" s="135">
        <f>-Инвестиции!J10</f>
        <v>0</v>
      </c>
      <c r="K10" s="135">
        <f>-Инвестиции!K10</f>
        <v>0</v>
      </c>
      <c r="L10" s="135">
        <f>-Инвестиции!L10</f>
        <v>0</v>
      </c>
      <c r="M10" s="135">
        <f>-Инвестиции!M10</f>
        <v>0</v>
      </c>
      <c r="N10" s="135">
        <f>-Инвестиции!N10</f>
        <v>0</v>
      </c>
      <c r="O10" s="135">
        <f>-Инвестиции!O10</f>
        <v>0</v>
      </c>
      <c r="P10" s="675"/>
      <c r="Q10" s="156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>
      <c r="A11" s="356" t="str">
        <f t="array" aca="1" ref="A11" ca="1">HYPERLINK(CELL("адрес",ОбщПрРасходы!A5),"источник")</f>
        <v>источник</v>
      </c>
      <c r="B11" s="705" t="s">
        <v>99</v>
      </c>
      <c r="C11" s="264" t="s">
        <v>19</v>
      </c>
      <c r="D11" s="372">
        <f>SUM(F11:O11)</f>
        <v>-84042.749860710202</v>
      </c>
      <c r="E11" s="71"/>
      <c r="F11" s="135">
        <f>-ОбщПрРасходы!F5</f>
        <v>-7000</v>
      </c>
      <c r="G11" s="135">
        <f>-ОбщПрРасходы!G5</f>
        <v>-7280</v>
      </c>
      <c r="H11" s="135">
        <f>-ОбщПрРасходы!H5</f>
        <v>-7571.2000000000007</v>
      </c>
      <c r="I11" s="135">
        <f>-ОбщПрРасходы!I5</f>
        <v>-7874.0480000000007</v>
      </c>
      <c r="J11" s="135">
        <f>-ОбщПрРасходы!J5</f>
        <v>-8189.0099200000004</v>
      </c>
      <c r="K11" s="135">
        <f>-ОбщПрРасходы!K5</f>
        <v>-8516.5703168000018</v>
      </c>
      <c r="L11" s="135">
        <f>-ОбщПрРасходы!L5</f>
        <v>-8857.2331294720007</v>
      </c>
      <c r="M11" s="135">
        <f>-ОбщПрРасходы!M5</f>
        <v>-9211.5224546508816</v>
      </c>
      <c r="N11" s="135">
        <f>-ОбщПрРасходы!N5</f>
        <v>-9579.9833528369163</v>
      </c>
      <c r="O11" s="135">
        <f>-ОбщПрРасходы!O5</f>
        <v>-9963.1826869503948</v>
      </c>
      <c r="P11" s="675"/>
      <c r="Q11" s="156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ht="15.75" thickBot="1">
      <c r="A12" s="146"/>
      <c r="B12" s="359" t="s">
        <v>87</v>
      </c>
      <c r="C12" s="264" t="s">
        <v>19</v>
      </c>
      <c r="D12" s="350">
        <f>D5+D6</f>
        <v>579194.47245823732</v>
      </c>
      <c r="E12" s="71"/>
      <c r="F12" s="350">
        <f t="shared" ref="F12:O12" si="3">F5+F6</f>
        <v>35695.199999999997</v>
      </c>
      <c r="G12" s="350">
        <f t="shared" si="3"/>
        <v>40942.131200000003</v>
      </c>
      <c r="H12" s="350">
        <f t="shared" si="3"/>
        <v>47627.850547200011</v>
      </c>
      <c r="I12" s="350">
        <f t="shared" si="3"/>
        <v>55902.024577843244</v>
      </c>
      <c r="J12" s="350">
        <f t="shared" si="3"/>
        <v>61246.270306202467</v>
      </c>
      <c r="K12" s="350">
        <f t="shared" si="3"/>
        <v>63272.231171349791</v>
      </c>
      <c r="L12" s="350">
        <f t="shared" si="3"/>
        <v>65355.492634065362</v>
      </c>
      <c r="M12" s="350">
        <f t="shared" si="3"/>
        <v>67497.017399377815</v>
      </c>
      <c r="N12" s="350">
        <f t="shared" si="3"/>
        <v>69697.732238659955</v>
      </c>
      <c r="O12" s="350">
        <f t="shared" si="3"/>
        <v>71958.522383538599</v>
      </c>
      <c r="P12" s="240"/>
      <c r="Q12" s="156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>
      <c r="A13" s="146"/>
      <c r="B13" s="360" t="s">
        <v>88</v>
      </c>
      <c r="C13" s="369" t="s">
        <v>27</v>
      </c>
      <c r="D13" s="373">
        <f>IFERROR(D12/D5,"-")</f>
        <v>0.37160507509788593</v>
      </c>
      <c r="E13" s="71"/>
      <c r="F13" s="351">
        <f>IFERROR(F12/F5,"-")</f>
        <v>0.32450181818181817</v>
      </c>
      <c r="G13" s="351">
        <f t="shared" ref="G13:O13" si="4">IFERROR(G12/G5,"-")</f>
        <v>0.33937442970822285</v>
      </c>
      <c r="H13" s="351">
        <f t="shared" si="4"/>
        <v>0.36093955029585806</v>
      </c>
      <c r="I13" s="351">
        <f t="shared" si="4"/>
        <v>0.37649012342450466</v>
      </c>
      <c r="J13" s="351">
        <f t="shared" si="4"/>
        <v>0.3878042114272689</v>
      </c>
      <c r="K13" s="351">
        <f t="shared" si="4"/>
        <v>0.38522342151760286</v>
      </c>
      <c r="L13" s="351">
        <f t="shared" si="4"/>
        <v>0.38260292714778815</v>
      </c>
      <c r="M13" s="351">
        <f t="shared" si="4"/>
        <v>0.3799421174799763</v>
      </c>
      <c r="N13" s="351">
        <f t="shared" si="4"/>
        <v>0.37724037227881352</v>
      </c>
      <c r="O13" s="351">
        <f t="shared" si="4"/>
        <v>0.37449706176686365</v>
      </c>
      <c r="P13" s="676"/>
      <c r="Q13" s="156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ht="28.5">
      <c r="A14" s="146"/>
      <c r="B14" s="361" t="s">
        <v>153</v>
      </c>
      <c r="C14" s="264" t="s">
        <v>19</v>
      </c>
      <c r="D14" s="348">
        <f>SUM(F14:O14)</f>
        <v>-387826.87418900139</v>
      </c>
      <c r="E14" s="71"/>
      <c r="F14" s="374">
        <f t="shared" ref="F14:O14" si="5">SUM(F15:F16)</f>
        <v>-30742.720000000001</v>
      </c>
      <c r="G14" s="374">
        <f t="shared" si="5"/>
        <v>-32294.712319999999</v>
      </c>
      <c r="H14" s="374">
        <f t="shared" si="5"/>
        <v>-33926.832209920001</v>
      </c>
      <c r="I14" s="374">
        <f t="shared" si="5"/>
        <v>-35643.295453675521</v>
      </c>
      <c r="J14" s="374">
        <f t="shared" si="5"/>
        <v>-37448.543064681355</v>
      </c>
      <c r="K14" s="374">
        <f t="shared" si="5"/>
        <v>-39347.253464527515</v>
      </c>
      <c r="L14" s="374">
        <f t="shared" si="5"/>
        <v>-41344.355326294011</v>
      </c>
      <c r="M14" s="374">
        <f t="shared" si="5"/>
        <v>-43445.041119029556</v>
      </c>
      <c r="N14" s="374">
        <f t="shared" si="5"/>
        <v>-45654.78139193682</v>
      </c>
      <c r="O14" s="374">
        <f t="shared" si="5"/>
        <v>-47979.339838936547</v>
      </c>
      <c r="P14" s="348"/>
      <c r="Q14" s="156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ht="30">
      <c r="A15" s="221" t="str">
        <f t="array" aca="1" ref="A15" ca="1">HYPERLINK(CELL("адрес",Персонал!A46),"источник")</f>
        <v>источник</v>
      </c>
      <c r="B15" s="358" t="s">
        <v>155</v>
      </c>
      <c r="C15" s="264" t="s">
        <v>19</v>
      </c>
      <c r="D15" s="372">
        <f>SUM(F15:O15)</f>
        <v>-260562.13868564012</v>
      </c>
      <c r="E15" s="71"/>
      <c r="F15" s="135">
        <f>-Персонал!F46</f>
        <v>-20142.72</v>
      </c>
      <c r="G15" s="135">
        <f>-Персонал!G46</f>
        <v>-21270.712319999999</v>
      </c>
      <c r="H15" s="135">
        <f>-Персонал!H46</f>
        <v>-22461.872209919999</v>
      </c>
      <c r="I15" s="135">
        <f>-Персонал!I46</f>
        <v>-23719.737053675519</v>
      </c>
      <c r="J15" s="135">
        <f>-Персонал!J46</f>
        <v>-25048.042328681353</v>
      </c>
      <c r="K15" s="135">
        <f>-Персонал!K46</f>
        <v>-26450.732699087512</v>
      </c>
      <c r="L15" s="135">
        <f>-Персонал!L46</f>
        <v>-27931.973730236408</v>
      </c>
      <c r="M15" s="135">
        <f>-Персонал!M46</f>
        <v>-29496.164259129648</v>
      </c>
      <c r="N15" s="135">
        <f>-Персонал!N46</f>
        <v>-31147.949457640912</v>
      </c>
      <c r="O15" s="135">
        <f>-Персонал!O46</f>
        <v>-32892.234627268801</v>
      </c>
      <c r="P15" s="675"/>
      <c r="Q15" s="156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ht="30">
      <c r="A16" s="221" t="str">
        <f t="array" aca="1" ref="A16" ca="1">HYPERLINK(CELL("адрес",АдмРасходы!A5),"источник")</f>
        <v>источник</v>
      </c>
      <c r="B16" s="358" t="s">
        <v>154</v>
      </c>
      <c r="C16" s="264" t="s">
        <v>19</v>
      </c>
      <c r="D16" s="372">
        <f>SUM(F16:O16)</f>
        <v>-127264.73550336117</v>
      </c>
      <c r="E16" s="71"/>
      <c r="F16" s="135">
        <f>-АдмРасходы!F5</f>
        <v>-10600</v>
      </c>
      <c r="G16" s="135">
        <f>-АдмРасходы!G5</f>
        <v>-11024</v>
      </c>
      <c r="H16" s="135">
        <f>-АдмРасходы!H5</f>
        <v>-11464.96</v>
      </c>
      <c r="I16" s="135">
        <f>-АдмРасходы!I5</f>
        <v>-11923.558400000002</v>
      </c>
      <c r="J16" s="135">
        <f>-АдмРасходы!J5</f>
        <v>-12400.500736000002</v>
      </c>
      <c r="K16" s="135">
        <f>-АдмРасходы!K5</f>
        <v>-12896.520765440004</v>
      </c>
      <c r="L16" s="135">
        <f>-АдмРасходы!L5</f>
        <v>-13412.381596057603</v>
      </c>
      <c r="M16" s="135">
        <f>-АдмРасходы!M5</f>
        <v>-13948.876859899909</v>
      </c>
      <c r="N16" s="135">
        <f>-АдмРасходы!N5</f>
        <v>-14506.831934295906</v>
      </c>
      <c r="O16" s="135">
        <f>-АдмРасходы!O5</f>
        <v>-15087.105211667744</v>
      </c>
      <c r="P16" s="675"/>
      <c r="Q16" s="156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ht="15.75" thickBot="1">
      <c r="A17" s="146"/>
      <c r="B17" s="359" t="s">
        <v>89</v>
      </c>
      <c r="C17" s="264" t="s">
        <v>19</v>
      </c>
      <c r="D17" s="350">
        <f>D12+D14</f>
        <v>191367.59826923592</v>
      </c>
      <c r="E17" s="71"/>
      <c r="F17" s="350">
        <f t="shared" ref="F17:O17" si="6">F12+F14</f>
        <v>4952.4799999999959</v>
      </c>
      <c r="G17" s="350">
        <f t="shared" si="6"/>
        <v>8647.4188800000047</v>
      </c>
      <c r="H17" s="350">
        <f t="shared" si="6"/>
        <v>13701.018337280009</v>
      </c>
      <c r="I17" s="350">
        <f t="shared" si="6"/>
        <v>20258.729124167723</v>
      </c>
      <c r="J17" s="350">
        <f t="shared" si="6"/>
        <v>23797.727241521112</v>
      </c>
      <c r="K17" s="350">
        <f t="shared" si="6"/>
        <v>23924.977706822276</v>
      </c>
      <c r="L17" s="350">
        <f t="shared" si="6"/>
        <v>24011.137307771351</v>
      </c>
      <c r="M17" s="350">
        <f t="shared" si="6"/>
        <v>24051.976280348259</v>
      </c>
      <c r="N17" s="350">
        <f t="shared" si="6"/>
        <v>24042.950846723135</v>
      </c>
      <c r="O17" s="350">
        <f t="shared" si="6"/>
        <v>23979.182544602052</v>
      </c>
      <c r="P17" s="240"/>
      <c r="Q17" s="156"/>
    </row>
    <row r="18" spans="1:17">
      <c r="A18" s="146"/>
      <c r="B18" s="362" t="s">
        <v>90</v>
      </c>
      <c r="C18" s="369" t="s">
        <v>27</v>
      </c>
      <c r="D18" s="373">
        <f>IFERROR(D17/D5,"-")</f>
        <v>0.1227794361094651</v>
      </c>
      <c r="E18" s="71"/>
      <c r="F18" s="351">
        <f t="shared" ref="F18:O18" si="7">IFERROR(F17/F5,"-")</f>
        <v>4.5022545454545419E-2</v>
      </c>
      <c r="G18" s="351">
        <f t="shared" si="7"/>
        <v>7.1679533156498706E-2</v>
      </c>
      <c r="H18" s="351">
        <f t="shared" si="7"/>
        <v>0.10383083301969159</v>
      </c>
      <c r="I18" s="351">
        <f t="shared" si="7"/>
        <v>0.13643891229307206</v>
      </c>
      <c r="J18" s="351">
        <f t="shared" si="7"/>
        <v>0.15068442209655197</v>
      </c>
      <c r="K18" s="351">
        <f t="shared" si="7"/>
        <v>0.14566361263592903</v>
      </c>
      <c r="L18" s="351">
        <f t="shared" si="7"/>
        <v>0.14056555995283498</v>
      </c>
      <c r="M18" s="351">
        <f t="shared" si="7"/>
        <v>0.13538907569000105</v>
      </c>
      <c r="N18" s="351">
        <f t="shared" si="7"/>
        <v>0.13013295320773888</v>
      </c>
      <c r="O18" s="351">
        <f t="shared" si="7"/>
        <v>0.12479596730267283</v>
      </c>
      <c r="P18" s="676"/>
      <c r="Q18" s="156"/>
    </row>
    <row r="19" spans="1:17">
      <c r="A19" s="146"/>
      <c r="B19" s="91" t="s">
        <v>93</v>
      </c>
      <c r="C19" s="264" t="s">
        <v>19</v>
      </c>
      <c r="D19" s="374">
        <f t="shared" ref="D19:D24" si="8">SUM(F19:O19)</f>
        <v>0</v>
      </c>
      <c r="E19" s="71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353"/>
      <c r="Q19" s="156"/>
    </row>
    <row r="20" spans="1:17">
      <c r="A20" s="221" t="str">
        <f t="array" aca="1" ref="A20" ca="1">HYPERLINK(CELL("адрес",Финансы!A25),"источник")</f>
        <v>источник</v>
      </c>
      <c r="B20" s="91" t="s">
        <v>94</v>
      </c>
      <c r="C20" s="264" t="s">
        <v>19</v>
      </c>
      <c r="D20" s="374">
        <f t="shared" ca="1" si="8"/>
        <v>0</v>
      </c>
      <c r="E20" s="71"/>
      <c r="F20" s="226">
        <f ca="1">-Финансы!F25</f>
        <v>0</v>
      </c>
      <c r="G20" s="226">
        <f ca="1">-Финансы!G25</f>
        <v>0</v>
      </c>
      <c r="H20" s="226">
        <f ca="1">-Финансы!H25</f>
        <v>0</v>
      </c>
      <c r="I20" s="226">
        <f ca="1">-Финансы!I25</f>
        <v>0</v>
      </c>
      <c r="J20" s="226">
        <f ca="1">-Финансы!J25</f>
        <v>0</v>
      </c>
      <c r="K20" s="226">
        <f ca="1">-Финансы!K25</f>
        <v>0</v>
      </c>
      <c r="L20" s="226">
        <f ca="1">-Финансы!L25</f>
        <v>0</v>
      </c>
      <c r="M20" s="226">
        <f ca="1">-Финансы!M25</f>
        <v>0</v>
      </c>
      <c r="N20" s="226">
        <f ca="1">-Финансы!N25</f>
        <v>0</v>
      </c>
      <c r="O20" s="226">
        <f ca="1">-Финансы!O25</f>
        <v>0</v>
      </c>
      <c r="P20" s="353"/>
      <c r="Q20" s="156"/>
    </row>
    <row r="21" spans="1:17">
      <c r="A21" s="221" t="str">
        <f t="array" aca="1" ref="A21" ca="1">HYPERLINK(CELL("адрес",ПрочДоходы!A5),"источник")</f>
        <v>источник</v>
      </c>
      <c r="B21" s="91" t="s">
        <v>91</v>
      </c>
      <c r="C21" s="264" t="s">
        <v>19</v>
      </c>
      <c r="D21" s="374">
        <f t="shared" si="8"/>
        <v>0</v>
      </c>
      <c r="E21" s="71"/>
      <c r="F21" s="226">
        <f>ПрочДоходы!F5</f>
        <v>0</v>
      </c>
      <c r="G21" s="226">
        <f>ПрочДоходы!G5</f>
        <v>0</v>
      </c>
      <c r="H21" s="226">
        <f>ПрочДоходы!H5</f>
        <v>0</v>
      </c>
      <c r="I21" s="226">
        <f>ПрочДоходы!I5</f>
        <v>0</v>
      </c>
      <c r="J21" s="226">
        <f>ПрочДоходы!J5</f>
        <v>0</v>
      </c>
      <c r="K21" s="226">
        <f>ПрочДоходы!K5</f>
        <v>0</v>
      </c>
      <c r="L21" s="226">
        <f>ПрочДоходы!L5</f>
        <v>0</v>
      </c>
      <c r="M21" s="226">
        <f>ПрочДоходы!M5</f>
        <v>0</v>
      </c>
      <c r="N21" s="226">
        <f>ПрочДоходы!N5</f>
        <v>0</v>
      </c>
      <c r="O21" s="226">
        <f>ПрочДоходы!O5</f>
        <v>0</v>
      </c>
      <c r="P21" s="353"/>
      <c r="Q21" s="156"/>
    </row>
    <row r="22" spans="1:17">
      <c r="A22" s="221" t="str">
        <f t="array" aca="1" ref="A22" ca="1">HYPERLINK(CELL("адрес",ПрочРасходы!A5),"источник")</f>
        <v>источник</v>
      </c>
      <c r="B22" s="91" t="s">
        <v>92</v>
      </c>
      <c r="C22" s="264" t="s">
        <v>19</v>
      </c>
      <c r="D22" s="374">
        <f t="shared" si="8"/>
        <v>-28214.351738952715</v>
      </c>
      <c r="E22" s="71"/>
      <c r="F22" s="226">
        <f>-ПрочРасходы!F5</f>
        <v>-2350</v>
      </c>
      <c r="G22" s="226">
        <f>-ПрочРасходы!G5</f>
        <v>-2444</v>
      </c>
      <c r="H22" s="226">
        <f>-ПрочРасходы!H5</f>
        <v>-2541.7600000000002</v>
      </c>
      <c r="I22" s="226">
        <f>-ПрочРасходы!I5</f>
        <v>-2643.4304000000002</v>
      </c>
      <c r="J22" s="226">
        <f>-ПрочРасходы!J5</f>
        <v>-2749.1676160000006</v>
      </c>
      <c r="K22" s="226">
        <f>-ПрочРасходы!K5</f>
        <v>-2859.1343206400011</v>
      </c>
      <c r="L22" s="226">
        <f>-ПрочРасходы!L5</f>
        <v>-2973.499693465601</v>
      </c>
      <c r="M22" s="226">
        <f>-ПрочРасходы!M5</f>
        <v>-3092.4396812042251</v>
      </c>
      <c r="N22" s="226">
        <f>-ПрочРасходы!N5</f>
        <v>-3216.1372684523944</v>
      </c>
      <c r="O22" s="226">
        <f>-ПрочРасходы!O5</f>
        <v>-3344.7827591904902</v>
      </c>
      <c r="P22" s="353"/>
      <c r="Q22" s="156"/>
    </row>
    <row r="23" spans="1:17">
      <c r="A23" s="221" t="str">
        <f t="array" aca="1" ref="A23" ca="1">HYPERLINK(CELL("адрес",НалЗемля!A15),"источник")</f>
        <v>источник</v>
      </c>
      <c r="B23" s="363" t="s">
        <v>346</v>
      </c>
      <c r="C23" s="264" t="s">
        <v>19</v>
      </c>
      <c r="D23" s="374">
        <f t="shared" si="8"/>
        <v>0</v>
      </c>
      <c r="E23" s="71"/>
      <c r="F23" s="352">
        <f>-НалЗемля!F15</f>
        <v>0</v>
      </c>
      <c r="G23" s="352">
        <f>-НалЗемля!G15</f>
        <v>0</v>
      </c>
      <c r="H23" s="352">
        <f>-НалЗемля!H15</f>
        <v>0</v>
      </c>
      <c r="I23" s="352">
        <f>-НалЗемля!I15</f>
        <v>0</v>
      </c>
      <c r="J23" s="352">
        <f>-НалЗемля!J15</f>
        <v>0</v>
      </c>
      <c r="K23" s="352">
        <f>-НалЗемля!K15</f>
        <v>0</v>
      </c>
      <c r="L23" s="352">
        <f>-НалЗемля!L15</f>
        <v>0</v>
      </c>
      <c r="M23" s="352">
        <f>-НалЗемля!M15</f>
        <v>0</v>
      </c>
      <c r="N23" s="352">
        <f>-НалЗемля!N15</f>
        <v>0</v>
      </c>
      <c r="O23" s="352">
        <f>-НалЗемля!O15</f>
        <v>0</v>
      </c>
      <c r="P23" s="353"/>
      <c r="Q23" s="156"/>
    </row>
    <row r="24" spans="1:17">
      <c r="A24" s="221" t="str">
        <f t="array" aca="1" ref="A24" ca="1">HYPERLINK(CELL("адрес",НалИмущество!A19),"источник")</f>
        <v>источник</v>
      </c>
      <c r="B24" s="363" t="s">
        <v>344</v>
      </c>
      <c r="C24" s="264" t="s">
        <v>19</v>
      </c>
      <c r="D24" s="374">
        <f t="shared" si="8"/>
        <v>0</v>
      </c>
      <c r="E24" s="71"/>
      <c r="F24" s="352">
        <f>-НалИмущество!F19</f>
        <v>0</v>
      </c>
      <c r="G24" s="352">
        <f>-НалИмущество!G19</f>
        <v>0</v>
      </c>
      <c r="H24" s="352">
        <f>-НалИмущество!H19</f>
        <v>0</v>
      </c>
      <c r="I24" s="352">
        <f>-НалИмущество!I19</f>
        <v>0</v>
      </c>
      <c r="J24" s="352">
        <f>-НалИмущество!J19</f>
        <v>0</v>
      </c>
      <c r="K24" s="352">
        <f>-НалИмущество!K19</f>
        <v>0</v>
      </c>
      <c r="L24" s="352">
        <f>-НалИмущество!L19</f>
        <v>0</v>
      </c>
      <c r="M24" s="352">
        <f>-НалИмущество!M19</f>
        <v>0</v>
      </c>
      <c r="N24" s="352">
        <f>-НалИмущество!N19</f>
        <v>0</v>
      </c>
      <c r="O24" s="352">
        <f>-НалИмущество!O19</f>
        <v>0</v>
      </c>
      <c r="P24" s="353"/>
      <c r="Q24" s="156"/>
    </row>
    <row r="25" spans="1:17" ht="29.25" thickBot="1">
      <c r="A25" s="146"/>
      <c r="B25" s="359" t="s">
        <v>95</v>
      </c>
      <c r="C25" s="264" t="s">
        <v>19</v>
      </c>
      <c r="D25" s="350">
        <f ca="1">D17+SUM(D19:D24)</f>
        <v>163153.24653028321</v>
      </c>
      <c r="E25" s="71"/>
      <c r="F25" s="350">
        <f ca="1">F17+SUM(F19:F24)</f>
        <v>2602.4799999999959</v>
      </c>
      <c r="G25" s="350">
        <f t="shared" ref="G25:O25" ca="1" si="9">G17+SUM(G19:G24)</f>
        <v>6203.4188800000047</v>
      </c>
      <c r="H25" s="350">
        <f t="shared" ca="1" si="9"/>
        <v>11159.258337280009</v>
      </c>
      <c r="I25" s="350">
        <f t="shared" ca="1" si="9"/>
        <v>17615.298724167722</v>
      </c>
      <c r="J25" s="350">
        <f t="shared" ca="1" si="9"/>
        <v>21048.559625521113</v>
      </c>
      <c r="K25" s="350">
        <f t="shared" ca="1" si="9"/>
        <v>21065.843386182274</v>
      </c>
      <c r="L25" s="350">
        <f t="shared" ca="1" si="9"/>
        <v>21037.63761430575</v>
      </c>
      <c r="M25" s="350">
        <f t="shared" ca="1" si="9"/>
        <v>20959.536599144034</v>
      </c>
      <c r="N25" s="350">
        <f t="shared" ca="1" si="9"/>
        <v>20826.81357827074</v>
      </c>
      <c r="O25" s="350">
        <f t="shared" ca="1" si="9"/>
        <v>20634.399785411562</v>
      </c>
      <c r="P25" s="240"/>
      <c r="Q25" s="156"/>
    </row>
    <row r="26" spans="1:17" ht="30">
      <c r="A26" s="146"/>
      <c r="B26" s="362" t="s">
        <v>96</v>
      </c>
      <c r="C26" s="369" t="s">
        <v>27</v>
      </c>
      <c r="D26" s="373">
        <f ca="1">IFERROR(D25/D5,"-")</f>
        <v>0.1046774051071791</v>
      </c>
      <c r="E26" s="71"/>
      <c r="F26" s="351">
        <f t="shared" ref="F26:O26" ca="1" si="10">IFERROR(F25/F5,"-")</f>
        <v>2.3658909090909053E-2</v>
      </c>
      <c r="G26" s="351">
        <f t="shared" ca="1" si="10"/>
        <v>5.1420912466843542E-2</v>
      </c>
      <c r="H26" s="351">
        <f t="shared" ca="1" si="10"/>
        <v>8.4568537937724383E-2</v>
      </c>
      <c r="I26" s="351">
        <f t="shared" ca="1" si="10"/>
        <v>0.11863588199004177</v>
      </c>
      <c r="J26" s="351">
        <f t="shared" ca="1" si="10"/>
        <v>0.13327701468914457</v>
      </c>
      <c r="K26" s="351">
        <f t="shared" ca="1" si="10"/>
        <v>0.1282562052285216</v>
      </c>
      <c r="L26" s="351">
        <f t="shared" ca="1" si="10"/>
        <v>0.12315815254542757</v>
      </c>
      <c r="M26" s="351">
        <f t="shared" ca="1" si="10"/>
        <v>0.11798166828259365</v>
      </c>
      <c r="N26" s="351">
        <f t="shared" ca="1" si="10"/>
        <v>0.11272554580033146</v>
      </c>
      <c r="O26" s="351">
        <f t="shared" ca="1" si="10"/>
        <v>0.10738855989526541</v>
      </c>
      <c r="P26" s="676"/>
      <c r="Q26" s="156"/>
    </row>
    <row r="27" spans="1:17">
      <c r="A27" s="356" t="str">
        <f t="array" aca="1" ref="A27" ca="1">HYPERLINK(CELL("адрес",НалПрибыль!A27),"источник")</f>
        <v>источник</v>
      </c>
      <c r="B27" s="91" t="s">
        <v>345</v>
      </c>
      <c r="C27" s="264" t="s">
        <v>19</v>
      </c>
      <c r="D27" s="374">
        <f ca="1">SUM(F27:O27)</f>
        <v>0</v>
      </c>
      <c r="E27" s="71"/>
      <c r="F27" s="226">
        <f ca="1">-НалПрибыль!F27</f>
        <v>0</v>
      </c>
      <c r="G27" s="226">
        <f ca="1">-НалПрибыль!G27</f>
        <v>0</v>
      </c>
      <c r="H27" s="226">
        <f ca="1">-НалПрибыль!H27</f>
        <v>0</v>
      </c>
      <c r="I27" s="226">
        <f ca="1">-НалПрибыль!I27</f>
        <v>0</v>
      </c>
      <c r="J27" s="226">
        <f ca="1">-НалПрибыль!J27</f>
        <v>0</v>
      </c>
      <c r="K27" s="226">
        <f ca="1">-НалПрибыль!K27</f>
        <v>0</v>
      </c>
      <c r="L27" s="226">
        <f ca="1">-НалПрибыль!L27</f>
        <v>0</v>
      </c>
      <c r="M27" s="226">
        <f ca="1">-НалПрибыль!M27</f>
        <v>0</v>
      </c>
      <c r="N27" s="226">
        <f ca="1">-НалПрибыль!N27</f>
        <v>0</v>
      </c>
      <c r="O27" s="226">
        <f ca="1">-НалПрибыль!O27</f>
        <v>0</v>
      </c>
      <c r="P27" s="353"/>
      <c r="Q27" s="156"/>
    </row>
    <row r="28" spans="1:17">
      <c r="A28" s="356"/>
      <c r="B28" s="363" t="s">
        <v>1124</v>
      </c>
      <c r="C28" s="264" t="s">
        <v>19</v>
      </c>
      <c r="D28" s="658"/>
      <c r="E28" s="71"/>
      <c r="F28" s="352">
        <f ca="1">-УСН!F14</f>
        <v>-130.1239999999998</v>
      </c>
      <c r="G28" s="352">
        <f ca="1">-УСН!G14</f>
        <v>-310.17094400000025</v>
      </c>
      <c r="H28" s="352">
        <f ca="1">-УСН!H14</f>
        <v>-557.96291686400048</v>
      </c>
      <c r="I28" s="352">
        <f ca="1">-УСН!I14</f>
        <v>-880.76493620838619</v>
      </c>
      <c r="J28" s="352">
        <f ca="1">-УСН!J14</f>
        <v>-1052.4279812760558</v>
      </c>
      <c r="K28" s="352">
        <f ca="1">-УСН!K14</f>
        <v>-1053.2921693091137</v>
      </c>
      <c r="L28" s="352">
        <f ca="1">-УСН!L14</f>
        <v>-1051.8818807152875</v>
      </c>
      <c r="M28" s="352">
        <f ca="1">-УСН!M14</f>
        <v>-1047.9768299572017</v>
      </c>
      <c r="N28" s="352">
        <f ca="1">-УСН!N14</f>
        <v>-1041.340678913537</v>
      </c>
      <c r="O28" s="352">
        <f ca="1">-УСН!O14</f>
        <v>-1031.7199892705783</v>
      </c>
      <c r="P28" s="353"/>
      <c r="Q28" s="156"/>
    </row>
    <row r="29" spans="1:17" ht="15.75" thickBot="1">
      <c r="A29" s="146"/>
      <c r="B29" s="359" t="s">
        <v>100</v>
      </c>
      <c r="C29" s="264" t="s">
        <v>19</v>
      </c>
      <c r="D29" s="350">
        <f ca="1">D25+D27</f>
        <v>163153.24653028321</v>
      </c>
      <c r="E29" s="71"/>
      <c r="F29" s="350">
        <f ca="1">F25+F28</f>
        <v>2472.3559999999961</v>
      </c>
      <c r="G29" s="350">
        <f ca="1">G25+G28</f>
        <v>5893.2479360000043</v>
      </c>
      <c r="H29" s="350">
        <f t="shared" ref="H29:O29" ca="1" si="11">H25+H28</f>
        <v>10601.295420416009</v>
      </c>
      <c r="I29" s="350">
        <f t="shared" ca="1" si="11"/>
        <v>16734.533787959335</v>
      </c>
      <c r="J29" s="350">
        <f t="shared" ca="1" si="11"/>
        <v>19996.131644245059</v>
      </c>
      <c r="K29" s="350">
        <f t="shared" ca="1" si="11"/>
        <v>20012.551216873162</v>
      </c>
      <c r="L29" s="350">
        <f t="shared" ca="1" si="11"/>
        <v>19985.755733590464</v>
      </c>
      <c r="M29" s="350">
        <f t="shared" ca="1" si="11"/>
        <v>19911.559769186832</v>
      </c>
      <c r="N29" s="350">
        <f t="shared" ca="1" si="11"/>
        <v>19785.472899357203</v>
      </c>
      <c r="O29" s="350">
        <f t="shared" ca="1" si="11"/>
        <v>19602.679796140983</v>
      </c>
      <c r="P29" s="240"/>
      <c r="Q29" s="156"/>
    </row>
    <row r="30" spans="1:17">
      <c r="A30" s="146"/>
      <c r="B30" s="362" t="s">
        <v>98</v>
      </c>
      <c r="C30" s="369" t="s">
        <v>27</v>
      </c>
      <c r="D30" s="373">
        <f ca="1">IFERROR(D29/D5,"-")</f>
        <v>0.1046774051071791</v>
      </c>
      <c r="E30" s="71"/>
      <c r="F30" s="351">
        <f ca="1">IFERROR(F29/F5,"-")</f>
        <v>2.2475963636363602E-2</v>
      </c>
      <c r="G30" s="351">
        <f t="shared" ref="G30:O30" ca="1" si="12">IFERROR(G29/G5,"-")</f>
        <v>4.8849866843501365E-2</v>
      </c>
      <c r="H30" s="351">
        <f t="shared" ca="1" si="12"/>
        <v>8.0340111040838158E-2</v>
      </c>
      <c r="I30" s="351">
        <f t="shared" ca="1" si="12"/>
        <v>0.11270408789053968</v>
      </c>
      <c r="J30" s="351">
        <f t="shared" ca="1" si="12"/>
        <v>0.12661316395468736</v>
      </c>
      <c r="K30" s="351">
        <f t="shared" ca="1" si="12"/>
        <v>0.12184339496709554</v>
      </c>
      <c r="L30" s="351">
        <f t="shared" ca="1" si="12"/>
        <v>0.11700024491815621</v>
      </c>
      <c r="M30" s="351">
        <f t="shared" ca="1" si="12"/>
        <v>0.11208258486846397</v>
      </c>
      <c r="N30" s="351">
        <f t="shared" ca="1" si="12"/>
        <v>0.1070892685103149</v>
      </c>
      <c r="O30" s="351">
        <f t="shared" ca="1" si="12"/>
        <v>0.10201913190050214</v>
      </c>
      <c r="P30" s="676"/>
      <c r="Q30" s="156"/>
    </row>
    <row r="31" spans="1:17">
      <c r="A31" s="146"/>
      <c r="B31" s="146"/>
      <c r="C31" s="370"/>
      <c r="D31" s="375"/>
      <c r="E31" s="71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71"/>
      <c r="Q31" s="156"/>
    </row>
    <row r="32" spans="1:17" ht="15.75" thickBot="1">
      <c r="A32" s="146"/>
      <c r="B32" s="359" t="s">
        <v>102</v>
      </c>
      <c r="C32" s="264" t="s">
        <v>19</v>
      </c>
      <c r="D32" s="350">
        <f ca="1">D25-D10-D19-D20</f>
        <v>163153.24653028321</v>
      </c>
      <c r="E32" s="71"/>
      <c r="F32" s="350">
        <f t="shared" ref="F32:O32" ca="1" si="13">F25-F10-F19-F20</f>
        <v>2602.4799999999959</v>
      </c>
      <c r="G32" s="350">
        <f t="shared" ca="1" si="13"/>
        <v>6203.4188800000047</v>
      </c>
      <c r="H32" s="350">
        <f t="shared" ca="1" si="13"/>
        <v>11159.258337280009</v>
      </c>
      <c r="I32" s="350">
        <f t="shared" ca="1" si="13"/>
        <v>17615.298724167722</v>
      </c>
      <c r="J32" s="350">
        <f t="shared" ca="1" si="13"/>
        <v>21048.559625521113</v>
      </c>
      <c r="K32" s="350">
        <f t="shared" ca="1" si="13"/>
        <v>21065.843386182274</v>
      </c>
      <c r="L32" s="350">
        <f t="shared" ca="1" si="13"/>
        <v>21037.63761430575</v>
      </c>
      <c r="M32" s="350">
        <f t="shared" ca="1" si="13"/>
        <v>20959.536599144034</v>
      </c>
      <c r="N32" s="350">
        <f t="shared" ca="1" si="13"/>
        <v>20826.81357827074</v>
      </c>
      <c r="O32" s="350">
        <f t="shared" ca="1" si="13"/>
        <v>20634.399785411562</v>
      </c>
      <c r="P32" s="240"/>
      <c r="Q32" s="156"/>
    </row>
    <row r="33" spans="1:17">
      <c r="A33" s="146"/>
      <c r="B33" s="362" t="s">
        <v>103</v>
      </c>
      <c r="C33" s="369" t="s">
        <v>27</v>
      </c>
      <c r="D33" s="373">
        <f ca="1">IFERROR(D32/D5,"-")</f>
        <v>0.1046774051071791</v>
      </c>
      <c r="E33" s="71"/>
      <c r="F33" s="351">
        <f t="shared" ref="F33:O33" ca="1" si="14">IFERROR(F32/F5,"-")</f>
        <v>2.3658909090909053E-2</v>
      </c>
      <c r="G33" s="351">
        <f t="shared" ca="1" si="14"/>
        <v>5.1420912466843542E-2</v>
      </c>
      <c r="H33" s="351">
        <f t="shared" ca="1" si="14"/>
        <v>8.4568537937724383E-2</v>
      </c>
      <c r="I33" s="351">
        <f t="shared" ca="1" si="14"/>
        <v>0.11863588199004177</v>
      </c>
      <c r="J33" s="351">
        <f t="shared" ca="1" si="14"/>
        <v>0.13327701468914457</v>
      </c>
      <c r="K33" s="351">
        <f t="shared" ca="1" si="14"/>
        <v>0.1282562052285216</v>
      </c>
      <c r="L33" s="351">
        <f t="shared" ca="1" si="14"/>
        <v>0.12315815254542757</v>
      </c>
      <c r="M33" s="351">
        <f t="shared" ca="1" si="14"/>
        <v>0.11798166828259365</v>
      </c>
      <c r="N33" s="351">
        <f t="shared" ca="1" si="14"/>
        <v>0.11272554580033146</v>
      </c>
      <c r="O33" s="351">
        <f t="shared" ca="1" si="14"/>
        <v>0.10738855989526541</v>
      </c>
      <c r="P33" s="676"/>
      <c r="Q33" s="156"/>
    </row>
    <row r="34" spans="1:17">
      <c r="A34" s="146"/>
      <c r="B34" s="146"/>
      <c r="C34" s="370"/>
      <c r="D34" s="375"/>
      <c r="E34" s="71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71"/>
      <c r="Q34" s="156"/>
    </row>
    <row r="35" spans="1:17">
      <c r="A35" s="146"/>
      <c r="B35" s="71"/>
      <c r="C35" s="370"/>
      <c r="D35" s="375"/>
      <c r="E35" s="71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71"/>
      <c r="Q35" s="156"/>
    </row>
    <row r="36" spans="1:17" ht="45">
      <c r="A36" s="146"/>
      <c r="B36" s="91" t="s">
        <v>173</v>
      </c>
      <c r="C36" s="264"/>
      <c r="D36" s="374"/>
      <c r="E36" s="71"/>
      <c r="F36" s="226">
        <f ca="1">F29</f>
        <v>2472.3559999999961</v>
      </c>
      <c r="G36" s="226">
        <f ca="1">F36+G29</f>
        <v>8365.6039359999995</v>
      </c>
      <c r="H36" s="226">
        <f t="shared" ref="H36:O36" ca="1" si="15">G36+H29</f>
        <v>18966.899356416008</v>
      </c>
      <c r="I36" s="226">
        <f t="shared" ca="1" si="15"/>
        <v>35701.433144375347</v>
      </c>
      <c r="J36" s="226">
        <f t="shared" ca="1" si="15"/>
        <v>55697.56478862041</v>
      </c>
      <c r="K36" s="226">
        <f t="shared" ca="1" si="15"/>
        <v>75710.116005493575</v>
      </c>
      <c r="L36" s="226">
        <f t="shared" ca="1" si="15"/>
        <v>95695.871739084047</v>
      </c>
      <c r="M36" s="226">
        <f t="shared" ca="1" si="15"/>
        <v>115607.43150827088</v>
      </c>
      <c r="N36" s="226">
        <f t="shared" ca="1" si="15"/>
        <v>135392.90440762808</v>
      </c>
      <c r="O36" s="226">
        <f t="shared" ca="1" si="15"/>
        <v>154995.58420376907</v>
      </c>
      <c r="P36" s="353"/>
      <c r="Q36" s="156"/>
    </row>
    <row r="37" spans="1:17">
      <c r="A37" s="71"/>
      <c r="B37" s="71"/>
      <c r="C37" s="367"/>
      <c r="D37" s="124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156"/>
    </row>
    <row r="42" spans="1:17">
      <c r="A42" s="71"/>
      <c r="B42" s="169" t="str">
        <f t="array" aca="1" ref="B42" ca="1">HYPERLINK(CELL("адрес",БДДС!$A$1),"Перейти на лист БДДС")</f>
        <v>Перейти на лист БДДС</v>
      </c>
      <c r="C42" s="367"/>
      <c r="D42" s="124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</row>
    <row r="43" spans="1:17">
      <c r="A43" s="71"/>
      <c r="B43" s="169" t="str">
        <f t="array" aca="1" ref="B43" ca="1">HYPERLINK(CELL("адрес",Баланс!$A$1),"Перейти на лист Баланс")</f>
        <v>Перейти на лист Баланс</v>
      </c>
      <c r="C43" s="367"/>
      <c r="D43" s="124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</row>
    <row r="44" spans="1:17">
      <c r="A44" s="71"/>
      <c r="B44" s="364" t="str">
        <f t="array" aca="1" ref="B44" ca="1">HYPERLINK(CELL("адрес",Дашборд_ИтогТабл!$A$1),"Перейти на лист Дашборд_1")</f>
        <v>Перейти на лист Дашборд_1</v>
      </c>
      <c r="C44" s="367"/>
      <c r="D44" s="124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</row>
    <row r="45" spans="1:17">
      <c r="A45" s="71"/>
      <c r="B45" s="364" t="str">
        <f t="array" aca="1" ref="B45" ca="1">HYPERLINK(CELL("адрес",Дашборд_Основной!$A$1),"Перейти на лист Дашборд_Общий")</f>
        <v>Перейти на лист Дашборд_Общий</v>
      </c>
      <c r="C45" s="367"/>
      <c r="D45" s="124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</row>
    <row r="46" spans="1:17">
      <c r="A46" s="71"/>
      <c r="B46" s="364" t="str">
        <f t="array" aca="1" ref="B46" ca="1">HYPERLINK(CELL("адрес",Дашборд_налоги!$A$1),"Перейти на лист Дашборд_Налоги")</f>
        <v>Перейти на лист Дашборд_Налоги</v>
      </c>
      <c r="C46" s="367"/>
      <c r="D46" s="124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</row>
    <row r="48" spans="1:17">
      <c r="A48" s="71"/>
      <c r="B48" s="365" t="str">
        <f ca="1">CONCATENATE("БДР. Выручка: ",ROUND(D5,0)," ",C5,". Чистая прибыль: ",ROUND(D29,0)," ",C29)</f>
        <v>БДР. Выручка: 1558629 тыс.руб.. Чистая прибыль: 163153 тыс.руб.</v>
      </c>
      <c r="C48" s="367"/>
      <c r="D48" s="124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</row>
    <row r="49" spans="1:17">
      <c r="A49" s="71"/>
      <c r="B49" s="366" t="str">
        <f ca="1">CONCATENATE("БДР. Рентабельность продаж: ",ROUND(D18*100,0)," ",C18,". Рентабельность по чистой прибыли: ",ROUND(D30*100,0)," ",C30)</f>
        <v>БДР. Рентабельность продаж: 12 %. Рентабельность по чистой прибыли: 10 %</v>
      </c>
      <c r="C49" s="367"/>
      <c r="D49" s="124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</row>
    <row r="52" spans="1:17">
      <c r="B52" s="71" t="s">
        <v>322</v>
      </c>
      <c r="C52" s="367"/>
      <c r="D52" s="124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</row>
    <row r="53" spans="1:17" s="6" customFormat="1">
      <c r="B53" s="124" t="s">
        <v>323</v>
      </c>
      <c r="C53" s="371" t="s">
        <v>19</v>
      </c>
      <c r="D53" s="374">
        <f t="shared" ref="D53:D58" si="16">SUM(F53:O53)</f>
        <v>979434.5971411739</v>
      </c>
      <c r="E53" s="124"/>
      <c r="F53" s="240">
        <f>SUM(F54:F58)</f>
        <v>74304.800000000003</v>
      </c>
      <c r="G53" s="240">
        <f t="shared" ref="G53:O53" si="17">SUM(G54:G58)</f>
        <v>79697.868799999997</v>
      </c>
      <c r="H53" s="240">
        <f t="shared" si="17"/>
        <v>84327.349452800001</v>
      </c>
      <c r="I53" s="240">
        <f t="shared" si="17"/>
        <v>92580.023422156795</v>
      </c>
      <c r="J53" s="240">
        <f t="shared" si="17"/>
        <v>96684.63529379759</v>
      </c>
      <c r="K53" s="240">
        <f t="shared" si="17"/>
        <v>100975.91065265026</v>
      </c>
      <c r="L53" s="240">
        <f t="shared" si="17"/>
        <v>105462.57486289469</v>
      </c>
      <c r="M53" s="240">
        <f t="shared" si="17"/>
        <v>110153.77279746062</v>
      </c>
      <c r="N53" s="240">
        <f t="shared" si="17"/>
        <v>115059.08956605202</v>
      </c>
      <c r="O53" s="240">
        <f t="shared" si="17"/>
        <v>120188.57229336188</v>
      </c>
      <c r="P53" s="240"/>
    </row>
    <row r="54" spans="1:17">
      <c r="B54" s="358" t="s">
        <v>324</v>
      </c>
      <c r="C54" s="368" t="s">
        <v>19</v>
      </c>
      <c r="D54" s="374">
        <f t="shared" si="16"/>
        <v>619797.2775168058</v>
      </c>
      <c r="E54" s="71"/>
      <c r="F54" s="353">
        <f t="shared" ref="F54:O54" si="18">-F7</f>
        <v>46000</v>
      </c>
      <c r="G54" s="353">
        <f t="shared" si="18"/>
        <v>49920</v>
      </c>
      <c r="H54" s="353">
        <f t="shared" si="18"/>
        <v>52998.399999999994</v>
      </c>
      <c r="I54" s="353">
        <f t="shared" si="18"/>
        <v>59617.792000000001</v>
      </c>
      <c r="J54" s="353">
        <f t="shared" si="18"/>
        <v>62002.503680000009</v>
      </c>
      <c r="K54" s="353">
        <f t="shared" si="18"/>
        <v>64482.603827200001</v>
      </c>
      <c r="L54" s="353">
        <f t="shared" si="18"/>
        <v>67061.907980288015</v>
      </c>
      <c r="M54" s="353">
        <f t="shared" si="18"/>
        <v>69744.384299499536</v>
      </c>
      <c r="N54" s="353">
        <f t="shared" si="18"/>
        <v>72534.159671479516</v>
      </c>
      <c r="O54" s="353">
        <f t="shared" si="18"/>
        <v>75435.526058338699</v>
      </c>
      <c r="P54" s="353"/>
    </row>
    <row r="55" spans="1:17">
      <c r="B55" s="358" t="s">
        <v>325</v>
      </c>
      <c r="C55" s="368" t="s">
        <v>19</v>
      </c>
      <c r="D55" s="374">
        <f t="shared" si="16"/>
        <v>0</v>
      </c>
      <c r="E55" s="71"/>
      <c r="F55" s="353">
        <f t="shared" ref="F55:O55" si="19">-F8</f>
        <v>0</v>
      </c>
      <c r="G55" s="353">
        <f t="shared" si="19"/>
        <v>0</v>
      </c>
      <c r="H55" s="353">
        <f t="shared" si="19"/>
        <v>0</v>
      </c>
      <c r="I55" s="353">
        <f t="shared" si="19"/>
        <v>0</v>
      </c>
      <c r="J55" s="353">
        <f t="shared" si="19"/>
        <v>0</v>
      </c>
      <c r="K55" s="353">
        <f t="shared" si="19"/>
        <v>0</v>
      </c>
      <c r="L55" s="353">
        <f t="shared" si="19"/>
        <v>0</v>
      </c>
      <c r="M55" s="353">
        <f t="shared" si="19"/>
        <v>0</v>
      </c>
      <c r="N55" s="353">
        <f t="shared" si="19"/>
        <v>0</v>
      </c>
      <c r="O55" s="353">
        <f t="shared" si="19"/>
        <v>0</v>
      </c>
      <c r="P55" s="353"/>
    </row>
    <row r="56" spans="1:17">
      <c r="B56" s="358" t="s">
        <v>326</v>
      </c>
      <c r="C56" s="264" t="s">
        <v>19</v>
      </c>
      <c r="D56" s="374">
        <f t="shared" si="16"/>
        <v>275594.56976365787</v>
      </c>
      <c r="E56" s="71"/>
      <c r="F56" s="353">
        <f t="shared" ref="F56:O56" si="20">-F9</f>
        <v>21304.799999999999</v>
      </c>
      <c r="G56" s="353">
        <f t="shared" si="20"/>
        <v>22497.868800000004</v>
      </c>
      <c r="H56" s="353">
        <f t="shared" si="20"/>
        <v>23757.749452800006</v>
      </c>
      <c r="I56" s="353">
        <f t="shared" si="20"/>
        <v>25088.183422156802</v>
      </c>
      <c r="J56" s="353">
        <f t="shared" si="20"/>
        <v>26493.121693797588</v>
      </c>
      <c r="K56" s="353">
        <f t="shared" si="20"/>
        <v>27976.736508650254</v>
      </c>
      <c r="L56" s="353">
        <f t="shared" si="20"/>
        <v>29543.433753134668</v>
      </c>
      <c r="M56" s="353">
        <f t="shared" si="20"/>
        <v>31197.866043310212</v>
      </c>
      <c r="N56" s="353">
        <f t="shared" si="20"/>
        <v>32944.946541735582</v>
      </c>
      <c r="O56" s="353">
        <f t="shared" si="20"/>
        <v>34789.863548072775</v>
      </c>
      <c r="P56" s="353"/>
    </row>
    <row r="57" spans="1:17">
      <c r="B57" s="358" t="s">
        <v>336</v>
      </c>
      <c r="C57" s="264" t="s">
        <v>19</v>
      </c>
      <c r="D57" s="374">
        <f t="shared" si="16"/>
        <v>0</v>
      </c>
      <c r="E57" s="71"/>
      <c r="F57" s="353">
        <f t="shared" ref="F57:O57" si="21">-F10</f>
        <v>0</v>
      </c>
      <c r="G57" s="353">
        <f t="shared" si="21"/>
        <v>0</v>
      </c>
      <c r="H57" s="353">
        <f t="shared" si="21"/>
        <v>0</v>
      </c>
      <c r="I57" s="353">
        <f t="shared" si="21"/>
        <v>0</v>
      </c>
      <c r="J57" s="353">
        <f t="shared" si="21"/>
        <v>0</v>
      </c>
      <c r="K57" s="353">
        <f t="shared" si="21"/>
        <v>0</v>
      </c>
      <c r="L57" s="353">
        <f t="shared" si="21"/>
        <v>0</v>
      </c>
      <c r="M57" s="353">
        <f t="shared" si="21"/>
        <v>0</v>
      </c>
      <c r="N57" s="353">
        <f t="shared" si="21"/>
        <v>0</v>
      </c>
      <c r="O57" s="353">
        <f t="shared" si="21"/>
        <v>0</v>
      </c>
      <c r="P57" s="353"/>
    </row>
    <row r="58" spans="1:17">
      <c r="B58" s="358" t="s">
        <v>327</v>
      </c>
      <c r="C58" s="264" t="s">
        <v>19</v>
      </c>
      <c r="D58" s="374">
        <f t="shared" si="16"/>
        <v>84042.749860710202</v>
      </c>
      <c r="E58" s="71"/>
      <c r="F58" s="353">
        <f t="shared" ref="F58:O58" si="22">-F11</f>
        <v>7000</v>
      </c>
      <c r="G58" s="353">
        <f t="shared" si="22"/>
        <v>7280</v>
      </c>
      <c r="H58" s="353">
        <f t="shared" si="22"/>
        <v>7571.2000000000007</v>
      </c>
      <c r="I58" s="353">
        <f t="shared" si="22"/>
        <v>7874.0480000000007</v>
      </c>
      <c r="J58" s="353">
        <f t="shared" si="22"/>
        <v>8189.0099200000004</v>
      </c>
      <c r="K58" s="353">
        <f t="shared" si="22"/>
        <v>8516.5703168000018</v>
      </c>
      <c r="L58" s="353">
        <f t="shared" si="22"/>
        <v>8857.2331294720007</v>
      </c>
      <c r="M58" s="353">
        <f t="shared" si="22"/>
        <v>9211.5224546508816</v>
      </c>
      <c r="N58" s="353">
        <f t="shared" si="22"/>
        <v>9579.9833528369163</v>
      </c>
      <c r="O58" s="353">
        <f t="shared" si="22"/>
        <v>9963.1826869503948</v>
      </c>
      <c r="P58" s="353"/>
    </row>
    <row r="60" spans="1:17">
      <c r="B60" s="124" t="s">
        <v>323</v>
      </c>
      <c r="C60" s="368" t="s">
        <v>27</v>
      </c>
      <c r="D60" s="162">
        <f>SUM(D61:D65)</f>
        <v>1</v>
      </c>
      <c r="E60" s="71"/>
      <c r="F60" s="162">
        <f>SUM(F61:F65)</f>
        <v>1</v>
      </c>
      <c r="G60" s="162">
        <f>SUM(G61:G65)</f>
        <v>1.0000000000000002</v>
      </c>
      <c r="H60" s="162">
        <f t="shared" ref="H60:O60" si="23">SUM(H61:H65)</f>
        <v>1</v>
      </c>
      <c r="I60" s="162">
        <f t="shared" si="23"/>
        <v>1</v>
      </c>
      <c r="J60" s="162">
        <f t="shared" si="23"/>
        <v>1</v>
      </c>
      <c r="K60" s="162">
        <f t="shared" si="23"/>
        <v>1</v>
      </c>
      <c r="L60" s="162">
        <f t="shared" si="23"/>
        <v>1</v>
      </c>
      <c r="M60" s="162">
        <f t="shared" si="23"/>
        <v>1.0000000000000002</v>
      </c>
      <c r="N60" s="162">
        <f t="shared" si="23"/>
        <v>1</v>
      </c>
      <c r="O60" s="162">
        <f t="shared" si="23"/>
        <v>0.99999999999999989</v>
      </c>
      <c r="P60" s="162"/>
    </row>
    <row r="61" spans="1:17">
      <c r="B61" s="358" t="s">
        <v>324</v>
      </c>
      <c r="C61" s="368" t="s">
        <v>27</v>
      </c>
      <c r="D61" s="162">
        <f>D54/D$53</f>
        <v>0.63281129676846548</v>
      </c>
      <c r="E61" s="71"/>
      <c r="F61" s="162">
        <f>F54/F$53</f>
        <v>0.6190717154208073</v>
      </c>
      <c r="G61" s="162">
        <f>G54/G$53</f>
        <v>0.6263655572180119</v>
      </c>
      <c r="H61" s="162">
        <f t="shared" ref="H61:O61" si="24">H54/H$53</f>
        <v>0.62848411984850117</v>
      </c>
      <c r="I61" s="162">
        <f t="shared" si="24"/>
        <v>0.6439595692058544</v>
      </c>
      <c r="J61" s="162">
        <f t="shared" si="24"/>
        <v>0.64128600673304215</v>
      </c>
      <c r="K61" s="162">
        <f t="shared" si="24"/>
        <v>0.63859393206183046</v>
      </c>
      <c r="L61" s="162">
        <f t="shared" si="24"/>
        <v>0.63588346925410288</v>
      </c>
      <c r="M61" s="162">
        <f t="shared" si="24"/>
        <v>0.63315474838740482</v>
      </c>
      <c r="N61" s="162">
        <f t="shared" si="24"/>
        <v>0.63040790558176463</v>
      </c>
      <c r="O61" s="162">
        <f t="shared" si="24"/>
        <v>0.62764308302300276</v>
      </c>
      <c r="P61" s="162"/>
    </row>
    <row r="62" spans="1:17">
      <c r="B62" s="358" t="s">
        <v>325</v>
      </c>
      <c r="C62" s="368" t="s">
        <v>27</v>
      </c>
      <c r="D62" s="162">
        <f>D55/D$53</f>
        <v>0</v>
      </c>
      <c r="E62" s="71"/>
      <c r="F62" s="162">
        <f t="shared" ref="F62:G65" si="25">F55/F$53</f>
        <v>0</v>
      </c>
      <c r="G62" s="162">
        <f t="shared" si="25"/>
        <v>0</v>
      </c>
      <c r="H62" s="162">
        <f t="shared" ref="H62:O62" si="26">H55/H$53</f>
        <v>0</v>
      </c>
      <c r="I62" s="162">
        <f t="shared" si="26"/>
        <v>0</v>
      </c>
      <c r="J62" s="162">
        <f t="shared" si="26"/>
        <v>0</v>
      </c>
      <c r="K62" s="162">
        <f t="shared" si="26"/>
        <v>0</v>
      </c>
      <c r="L62" s="162">
        <f t="shared" si="26"/>
        <v>0</v>
      </c>
      <c r="M62" s="162">
        <f t="shared" si="26"/>
        <v>0</v>
      </c>
      <c r="N62" s="162">
        <f t="shared" si="26"/>
        <v>0</v>
      </c>
      <c r="O62" s="162">
        <f t="shared" si="26"/>
        <v>0</v>
      </c>
      <c r="P62" s="162"/>
    </row>
    <row r="63" spans="1:17">
      <c r="B63" s="358" t="s">
        <v>326</v>
      </c>
      <c r="C63" s="368" t="s">
        <v>27</v>
      </c>
      <c r="D63" s="162">
        <f>D56/D$53</f>
        <v>0.28138128933578416</v>
      </c>
      <c r="E63" s="71"/>
      <c r="F63" s="162">
        <f t="shared" si="25"/>
        <v>0.28672171918906986</v>
      </c>
      <c r="G63" s="162">
        <f t="shared" si="25"/>
        <v>0.28228946568769486</v>
      </c>
      <c r="H63" s="162">
        <f t="shared" ref="H63:O63" si="27">H56/H$53</f>
        <v>0.28173243445885582</v>
      </c>
      <c r="I63" s="162">
        <f t="shared" si="27"/>
        <v>0.27098916693676867</v>
      </c>
      <c r="J63" s="162">
        <f t="shared" si="27"/>
        <v>0.27401584143429197</v>
      </c>
      <c r="K63" s="162">
        <f t="shared" si="27"/>
        <v>0.27706347313755042</v>
      </c>
      <c r="L63" s="162">
        <f t="shared" si="27"/>
        <v>0.28013192159912881</v>
      </c>
      <c r="M63" s="162">
        <f t="shared" si="27"/>
        <v>0.28322103956142858</v>
      </c>
      <c r="N63" s="162">
        <f t="shared" si="27"/>
        <v>0.28633067292630421</v>
      </c>
      <c r="O63" s="162">
        <f t="shared" si="27"/>
        <v>0.28946066072867604</v>
      </c>
      <c r="P63" s="162"/>
    </row>
    <row r="64" spans="1:17">
      <c r="B64" s="358" t="s">
        <v>336</v>
      </c>
      <c r="C64" s="368" t="s">
        <v>27</v>
      </c>
      <c r="D64" s="162">
        <f>D57/D$53</f>
        <v>0</v>
      </c>
      <c r="E64" s="71"/>
      <c r="F64" s="162">
        <f t="shared" si="25"/>
        <v>0</v>
      </c>
      <c r="G64" s="162">
        <f t="shared" si="25"/>
        <v>0</v>
      </c>
      <c r="H64" s="162">
        <f t="shared" ref="H64:O64" si="28">H57/H$53</f>
        <v>0</v>
      </c>
      <c r="I64" s="162">
        <f t="shared" si="28"/>
        <v>0</v>
      </c>
      <c r="J64" s="162">
        <f t="shared" si="28"/>
        <v>0</v>
      </c>
      <c r="K64" s="162">
        <f t="shared" si="28"/>
        <v>0</v>
      </c>
      <c r="L64" s="162">
        <f t="shared" si="28"/>
        <v>0</v>
      </c>
      <c r="M64" s="162">
        <f t="shared" si="28"/>
        <v>0</v>
      </c>
      <c r="N64" s="162">
        <f t="shared" si="28"/>
        <v>0</v>
      </c>
      <c r="O64" s="162">
        <f t="shared" si="28"/>
        <v>0</v>
      </c>
      <c r="P64" s="162"/>
    </row>
    <row r="65" spans="2:16">
      <c r="B65" s="358" t="s">
        <v>327</v>
      </c>
      <c r="C65" s="368" t="s">
        <v>27</v>
      </c>
      <c r="D65" s="162">
        <f>D58/D$53</f>
        <v>8.5807413895750334E-2</v>
      </c>
      <c r="E65" s="71"/>
      <c r="F65" s="162">
        <f t="shared" si="25"/>
        <v>9.4206565390122843E-2</v>
      </c>
      <c r="G65" s="162">
        <f t="shared" si="25"/>
        <v>9.13449770942934E-2</v>
      </c>
      <c r="H65" s="162">
        <f t="shared" ref="H65:O65" si="29">H58/H$53</f>
        <v>8.9783445692643044E-2</v>
      </c>
      <c r="I65" s="162">
        <f t="shared" si="29"/>
        <v>8.5051263857377005E-2</v>
      </c>
      <c r="J65" s="162">
        <f t="shared" si="29"/>
        <v>8.4698151832665936E-2</v>
      </c>
      <c r="K65" s="162">
        <f t="shared" si="29"/>
        <v>8.4342594800619133E-2</v>
      </c>
      <c r="L65" s="162">
        <f t="shared" si="29"/>
        <v>8.3984609146768294E-2</v>
      </c>
      <c r="M65" s="162">
        <f t="shared" si="29"/>
        <v>8.3624212051166671E-2</v>
      </c>
      <c r="N65" s="162">
        <f t="shared" si="29"/>
        <v>8.3261421491931165E-2</v>
      </c>
      <c r="O65" s="162">
        <f t="shared" si="29"/>
        <v>8.2896256248321115E-2</v>
      </c>
      <c r="P65" s="162"/>
    </row>
  </sheetData>
  <hyperlinks>
    <hyperlink ref="M1" location="Контроль!A1" display="Контроль!A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3" orientation="landscape" r:id="rId1"/>
  <headerFooter>
    <oddFooter>&amp;C&amp;9Страница  &amp;P из &amp;N&amp;R&amp;G</oddFooter>
  </headerFooter>
  <rowBreaks count="1" manualBreakCount="1">
    <brk id="38" max="16383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5" tint="0.79998168889431442"/>
    <outlinePr summaryBelow="0" summaryRight="0"/>
    <pageSetUpPr fitToPage="1"/>
  </sheetPr>
  <dimension ref="A1:AD191"/>
  <sheetViews>
    <sheetView zoomScaleNormal="100" workbookViewId="0">
      <pane xSplit="4" ySplit="4" topLeftCell="E32" activePane="bottomRight" state="frozen"/>
      <selection activeCell="C1" sqref="C1"/>
      <selection pane="topRight" activeCell="C1" sqref="C1"/>
      <selection pane="bottomLeft" activeCell="C1" sqref="C1"/>
      <selection pane="bottomRight" activeCell="G57" sqref="G57"/>
    </sheetView>
  </sheetViews>
  <sheetFormatPr defaultRowHeight="15" outlineLevelRow="1" outlineLevelCol="1"/>
  <cols>
    <col min="1" max="1" width="9.140625" customWidth="1"/>
    <col min="2" max="2" width="39" customWidth="1"/>
    <col min="3" max="3" width="9.5703125" style="3" customWidth="1"/>
    <col min="4" max="4" width="13.28515625" customWidth="1"/>
    <col min="5" max="5" width="2.28515625" customWidth="1"/>
    <col min="6" max="15" width="10" customWidth="1"/>
    <col min="16" max="16" width="1.5703125" customWidth="1"/>
    <col min="17" max="17" width="2.85546875" customWidth="1" collapsed="1"/>
    <col min="18" max="27" width="8.85546875" hidden="1" customWidth="1" outlineLevel="1"/>
    <col min="28" max="28" width="1.5703125" customWidth="1"/>
    <col min="29" max="29" width="5" customWidth="1"/>
  </cols>
  <sheetData>
    <row r="1" spans="1:30" ht="25.5">
      <c r="A1" s="651" t="s">
        <v>1024</v>
      </c>
      <c r="B1" s="71"/>
      <c r="C1" s="391"/>
      <c r="D1" s="71"/>
      <c r="E1" s="71"/>
      <c r="F1" s="71"/>
      <c r="G1" s="71"/>
      <c r="H1" s="71"/>
      <c r="J1" s="71"/>
      <c r="K1" s="71"/>
      <c r="L1" s="71"/>
      <c r="M1" s="151" t="str">
        <f ca="1">Контроль!$Q$1</f>
        <v>Ошибок нет</v>
      </c>
      <c r="N1" s="71"/>
      <c r="O1" s="71"/>
      <c r="P1" s="71"/>
      <c r="Q1" s="155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>
      <c r="A2" s="71" t="str">
        <f>Паспорт_ФМ_резидент!B7</f>
        <v>Разработка, производство, модернизация и реализация …</v>
      </c>
      <c r="B2" s="71"/>
      <c r="C2" s="391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59"/>
      <c r="Q2" s="156"/>
      <c r="R2" s="159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 ht="28.5">
      <c r="A3" s="380" t="s">
        <v>2</v>
      </c>
      <c r="B3" s="127" t="s">
        <v>3</v>
      </c>
      <c r="C3" s="127" t="s">
        <v>12</v>
      </c>
      <c r="D3" s="194" t="str">
        <f>CONCATENATE("Итого ",F3,"-",O3)</f>
        <v>Итого 2025-2034</v>
      </c>
      <c r="E3" s="152"/>
      <c r="F3" s="766"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671"/>
      <c r="Q3" s="157"/>
      <c r="R3" s="160">
        <v>2035</v>
      </c>
      <c r="S3" s="160">
        <f>R3+1</f>
        <v>2036</v>
      </c>
      <c r="T3" s="160">
        <f>S3+1</f>
        <v>2037</v>
      </c>
      <c r="U3" s="160">
        <f t="shared" si="0"/>
        <v>2038</v>
      </c>
      <c r="V3" s="160">
        <f t="shared" si="0"/>
        <v>2039</v>
      </c>
      <c r="W3" s="160">
        <f t="shared" si="0"/>
        <v>2040</v>
      </c>
      <c r="X3" s="160">
        <f t="shared" si="0"/>
        <v>2041</v>
      </c>
      <c r="Y3" s="160">
        <f t="shared" si="0"/>
        <v>2042</v>
      </c>
      <c r="Z3" s="160">
        <f t="shared" si="0"/>
        <v>2043</v>
      </c>
      <c r="AA3" s="160">
        <f t="shared" si="0"/>
        <v>2044</v>
      </c>
      <c r="AB3" s="152"/>
      <c r="AC3" s="152"/>
      <c r="AD3" s="152"/>
    </row>
    <row r="4" spans="1:30" ht="8.1" customHeight="1">
      <c r="A4" s="381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6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>
      <c r="A5" s="206"/>
      <c r="B5" s="87" t="s">
        <v>85</v>
      </c>
      <c r="C5" s="264" t="s">
        <v>19</v>
      </c>
      <c r="D5" s="394">
        <v>0</v>
      </c>
      <c r="E5" s="71"/>
      <c r="F5" s="225">
        <f>E59</f>
        <v>0</v>
      </c>
      <c r="G5" s="225">
        <f ca="1">F59</f>
        <v>12472.356</v>
      </c>
      <c r="H5" s="225">
        <f t="shared" ref="H5:O5" ca="1" si="2">G59</f>
        <v>18365.603936000014</v>
      </c>
      <c r="I5" s="225">
        <f t="shared" ca="1" si="2"/>
        <v>28966.899356416077</v>
      </c>
      <c r="J5" s="225">
        <f t="shared" ca="1" si="2"/>
        <v>45701.43314437542</v>
      </c>
      <c r="K5" s="225">
        <f t="shared" ca="1" si="2"/>
        <v>65697.564788620453</v>
      </c>
      <c r="L5" s="225">
        <f t="shared" ca="1" si="2"/>
        <v>95710.116005493619</v>
      </c>
      <c r="M5" s="225">
        <f t="shared" ca="1" si="2"/>
        <v>115695.8717390841</v>
      </c>
      <c r="N5" s="225">
        <f t="shared" ca="1" si="2"/>
        <v>135607.43150827097</v>
      </c>
      <c r="O5" s="225">
        <f t="shared" ca="1" si="2"/>
        <v>155392.90440762817</v>
      </c>
      <c r="P5" s="349"/>
      <c r="Q5" s="156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71"/>
      <c r="AC5" s="71"/>
      <c r="AD5" s="71"/>
    </row>
    <row r="6" spans="1:30">
      <c r="A6" s="382" t="s">
        <v>69</v>
      </c>
      <c r="B6" s="78"/>
      <c r="C6" s="392"/>
      <c r="D6" s="395"/>
      <c r="E6" s="71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677"/>
      <c r="Q6" s="156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>
      <c r="A7" s="383"/>
      <c r="B7" s="386" t="s">
        <v>72</v>
      </c>
      <c r="C7" s="264" t="s">
        <v>19</v>
      </c>
      <c r="D7" s="223">
        <f>SUM(D8:D9)</f>
        <v>1636560.5230793813</v>
      </c>
      <c r="E7" s="71"/>
      <c r="F7" s="223">
        <f t="shared" ref="F7:O7" si="3">SUM(F8:F9)</f>
        <v>115500</v>
      </c>
      <c r="G7" s="223">
        <f t="shared" si="3"/>
        <v>126672</v>
      </c>
      <c r="H7" s="223">
        <f t="shared" si="3"/>
        <v>138552.96000000002</v>
      </c>
      <c r="I7" s="223">
        <f t="shared" si="3"/>
        <v>155906.15040000004</v>
      </c>
      <c r="J7" s="223">
        <f t="shared" si="3"/>
        <v>165827.45088000005</v>
      </c>
      <c r="K7" s="223">
        <f t="shared" si="3"/>
        <v>172460.54891520005</v>
      </c>
      <c r="L7" s="223">
        <f t="shared" si="3"/>
        <v>179358.97087180807</v>
      </c>
      <c r="M7" s="223">
        <f t="shared" si="3"/>
        <v>186533.32970668035</v>
      </c>
      <c r="N7" s="223">
        <f t="shared" si="3"/>
        <v>193994.66289494757</v>
      </c>
      <c r="O7" s="223">
        <f t="shared" si="3"/>
        <v>201754.4494107455</v>
      </c>
      <c r="P7" s="348"/>
      <c r="Q7" s="156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outlineLevel="1">
      <c r="A8" s="255" t="str">
        <f t="array" aca="1" ref="A8" ca="1">HYPERLINK(CELL("адрес",Выручка!A10),"источник")</f>
        <v>источник</v>
      </c>
      <c r="B8" s="387" t="s">
        <v>67</v>
      </c>
      <c r="C8" s="264" t="s">
        <v>19</v>
      </c>
      <c r="D8" s="244">
        <f>SUM(F8:O8)</f>
        <v>1636560.5230793813</v>
      </c>
      <c r="E8" s="71"/>
      <c r="F8" s="225">
        <f>Выручка!F10</f>
        <v>115500</v>
      </c>
      <c r="G8" s="225">
        <f>Выручка!G10</f>
        <v>126672</v>
      </c>
      <c r="H8" s="225">
        <f>Выручка!H10</f>
        <v>138552.96000000002</v>
      </c>
      <c r="I8" s="225">
        <f>Выручка!I10</f>
        <v>155906.15040000004</v>
      </c>
      <c r="J8" s="225">
        <f>Выручка!J10</f>
        <v>165827.45088000005</v>
      </c>
      <c r="K8" s="225">
        <f>Выручка!K10</f>
        <v>172460.54891520005</v>
      </c>
      <c r="L8" s="225">
        <f>Выручка!L10</f>
        <v>179358.97087180807</v>
      </c>
      <c r="M8" s="225">
        <f>Выручка!M10</f>
        <v>186533.32970668035</v>
      </c>
      <c r="N8" s="225">
        <f>Выручка!N10</f>
        <v>193994.66289494757</v>
      </c>
      <c r="O8" s="225">
        <f>Выручка!O10</f>
        <v>201754.4494107455</v>
      </c>
      <c r="P8" s="349"/>
      <c r="Q8" s="156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outlineLevel="1">
      <c r="A9" s="255" t="str">
        <f t="array" aca="1" ref="A9" ca="1">HYPERLINK(CELL("адрес",ПрочДоходы!A5),"источник")</f>
        <v>источник</v>
      </c>
      <c r="B9" s="387" t="s">
        <v>277</v>
      </c>
      <c r="C9" s="264" t="s">
        <v>19</v>
      </c>
      <c r="D9" s="244">
        <f>SUM(F9:O9)</f>
        <v>0</v>
      </c>
      <c r="E9" s="71"/>
      <c r="F9" s="225">
        <f>ПрочДоходы!F5</f>
        <v>0</v>
      </c>
      <c r="G9" s="225">
        <f>ПрочДоходы!G5</f>
        <v>0</v>
      </c>
      <c r="H9" s="225">
        <f>ПрочДоходы!H5</f>
        <v>0</v>
      </c>
      <c r="I9" s="225">
        <f>ПрочДоходы!I5</f>
        <v>0</v>
      </c>
      <c r="J9" s="225">
        <f>ПрочДоходы!J5</f>
        <v>0</v>
      </c>
      <c r="K9" s="225">
        <f>ПрочДоходы!K5</f>
        <v>0</v>
      </c>
      <c r="L9" s="225">
        <f>ПрочДоходы!L5</f>
        <v>0</v>
      </c>
      <c r="M9" s="225">
        <f>ПрочДоходы!M5</f>
        <v>0</v>
      </c>
      <c r="N9" s="225">
        <f>ПрочДоходы!N5</f>
        <v>0</v>
      </c>
      <c r="O9" s="225">
        <f>ПрочДоходы!O5</f>
        <v>0</v>
      </c>
      <c r="P9" s="349"/>
      <c r="Q9" s="156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outlineLevel="1">
      <c r="A10" s="384"/>
      <c r="B10" s="388"/>
      <c r="C10" s="264" t="s">
        <v>19</v>
      </c>
      <c r="D10" s="396"/>
      <c r="E10" s="71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229"/>
      <c r="Q10" s="156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>
      <c r="A11" s="383"/>
      <c r="B11" s="386" t="s">
        <v>73</v>
      </c>
      <c r="C11" s="264" t="s">
        <v>19</v>
      </c>
      <c r="D11" s="223">
        <f ca="1">SUM(D12:D27)</f>
        <v>-1481564.9388756128</v>
      </c>
      <c r="E11" s="71"/>
      <c r="F11" s="223">
        <f ca="1">SUM(F12:F27)</f>
        <v>-113027.644</v>
      </c>
      <c r="G11" s="223">
        <f t="shared" ref="G11:O11" ca="1" si="4">SUM(G12:G27)</f>
        <v>-120778.75206399999</v>
      </c>
      <c r="H11" s="223">
        <f t="shared" ca="1" si="4"/>
        <v>-127951.66457958397</v>
      </c>
      <c r="I11" s="223">
        <f t="shared" ca="1" si="4"/>
        <v>-139171.6166120407</v>
      </c>
      <c r="J11" s="223">
        <f t="shared" ca="1" si="4"/>
        <v>-145831.31923575501</v>
      </c>
      <c r="K11" s="223">
        <f t="shared" ca="1" si="4"/>
        <v>-152447.99769832689</v>
      </c>
      <c r="L11" s="223">
        <f t="shared" ca="1" si="4"/>
        <v>-159373.21513821758</v>
      </c>
      <c r="M11" s="223">
        <f t="shared" ca="1" si="4"/>
        <v>-166621.76993749349</v>
      </c>
      <c r="N11" s="223">
        <f t="shared" ca="1" si="4"/>
        <v>-174209.18999559036</v>
      </c>
      <c r="O11" s="223">
        <f t="shared" ca="1" si="4"/>
        <v>-182151.76961460448</v>
      </c>
      <c r="P11" s="348"/>
      <c r="Q11" s="156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outlineLevel="1">
      <c r="A12" s="255" t="str">
        <f t="array" aca="1" ref="A12" ca="1">HYPERLINK(CELL("адрес",Себестоимость!A9),"источник")</f>
        <v>источник</v>
      </c>
      <c r="B12" s="387" t="s">
        <v>242</v>
      </c>
      <c r="C12" s="264" t="s">
        <v>19</v>
      </c>
      <c r="D12" s="244">
        <f t="shared" ref="D12:D25" si="5">SUM(F12:O12)</f>
        <v>-619797.2775168058</v>
      </c>
      <c r="E12" s="71"/>
      <c r="F12" s="225">
        <f>-Себестоимость!F9</f>
        <v>-46000</v>
      </c>
      <c r="G12" s="225">
        <f>-Себестоимость!G9</f>
        <v>-49920</v>
      </c>
      <c r="H12" s="225">
        <f>-Себестоимость!H9</f>
        <v>-52998.399999999994</v>
      </c>
      <c r="I12" s="225">
        <f>-Себестоимость!I9</f>
        <v>-59617.792000000001</v>
      </c>
      <c r="J12" s="225">
        <f>-Себестоимость!J9</f>
        <v>-62002.503680000009</v>
      </c>
      <c r="K12" s="225">
        <f>-Себестоимость!K9</f>
        <v>-64482.603827200001</v>
      </c>
      <c r="L12" s="225">
        <f>-Себестоимость!L9</f>
        <v>-67061.907980288015</v>
      </c>
      <c r="M12" s="225">
        <f>-Себестоимость!M9</f>
        <v>-69744.384299499536</v>
      </c>
      <c r="N12" s="225">
        <f>-Себестоимость!N9</f>
        <v>-72534.159671479516</v>
      </c>
      <c r="O12" s="225">
        <f>-Себестоимость!O9</f>
        <v>-75435.526058338699</v>
      </c>
      <c r="P12" s="349"/>
      <c r="Q12" s="156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outlineLevel="1">
      <c r="A13" s="255" t="str">
        <f t="array" aca="1" ref="A13" ca="1">HYPERLINK(CELL("адрес",Ресурсы!A7),"источник")</f>
        <v>источник</v>
      </c>
      <c r="B13" s="387" t="s">
        <v>251</v>
      </c>
      <c r="C13" s="264" t="s">
        <v>19</v>
      </c>
      <c r="D13" s="244">
        <f t="shared" si="5"/>
        <v>0</v>
      </c>
      <c r="E13" s="71"/>
      <c r="F13" s="225">
        <f>-Ресурсы!F7</f>
        <v>0</v>
      </c>
      <c r="G13" s="225">
        <f>-Ресурсы!G7</f>
        <v>0</v>
      </c>
      <c r="H13" s="225">
        <f>-Ресурсы!H7</f>
        <v>0</v>
      </c>
      <c r="I13" s="225">
        <f>-Ресурсы!I7</f>
        <v>0</v>
      </c>
      <c r="J13" s="225">
        <f>-Ресурсы!J7</f>
        <v>0</v>
      </c>
      <c r="K13" s="225">
        <f>-Ресурсы!K7</f>
        <v>0</v>
      </c>
      <c r="L13" s="225">
        <f>-Ресурсы!L7</f>
        <v>0</v>
      </c>
      <c r="M13" s="225">
        <f>-Ресурсы!M7</f>
        <v>0</v>
      </c>
      <c r="N13" s="225">
        <f>-Ресурсы!N7</f>
        <v>0</v>
      </c>
      <c r="O13" s="225">
        <f>-Ресурсы!O7</f>
        <v>0</v>
      </c>
      <c r="P13" s="349"/>
      <c r="Q13" s="156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outlineLevel="1">
      <c r="A14" s="255" t="str">
        <f t="array" aca="1" ref="A14" ca="1">HYPERLINK(CELL("адрес",Персонал!A56),"источник")</f>
        <v>источник</v>
      </c>
      <c r="B14" s="387" t="s">
        <v>158</v>
      </c>
      <c r="C14" s="264" t="s">
        <v>19</v>
      </c>
      <c r="D14" s="244">
        <f t="shared" si="5"/>
        <v>-433509.60627406067</v>
      </c>
      <c r="E14" s="71"/>
      <c r="F14" s="225">
        <f>-Персонал!F56</f>
        <v>-33512.400000000001</v>
      </c>
      <c r="G14" s="225">
        <f>-Персонал!G56</f>
        <v>-35389.094400000002</v>
      </c>
      <c r="H14" s="225">
        <f>-Персонал!H56</f>
        <v>-37370.883686400004</v>
      </c>
      <c r="I14" s="225">
        <f>-Персонал!I56</f>
        <v>-39463.6531728384</v>
      </c>
      <c r="J14" s="225">
        <f>-Персонал!J56</f>
        <v>-41673.617750517362</v>
      </c>
      <c r="K14" s="225">
        <f>-Персонал!K56</f>
        <v>-44007.340344546334</v>
      </c>
      <c r="L14" s="225">
        <f>-Персонал!L56</f>
        <v>-46471.751403840928</v>
      </c>
      <c r="M14" s="225">
        <f>-Персонал!M56</f>
        <v>-49074.169482456018</v>
      </c>
      <c r="N14" s="225">
        <f>-Персонал!N56</f>
        <v>-51822.322973473558</v>
      </c>
      <c r="O14" s="225">
        <f>-Персонал!O56</f>
        <v>-54724.37305998808</v>
      </c>
      <c r="P14" s="349"/>
      <c r="Q14" s="156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outlineLevel="1">
      <c r="A15" s="255" t="str">
        <f t="array" aca="1" ref="A15" ca="1">HYPERLINK(CELL("адрес",Персонал!A38),"источник")</f>
        <v>источник</v>
      </c>
      <c r="B15" s="387" t="s">
        <v>157</v>
      </c>
      <c r="C15" s="264" t="s">
        <v>19</v>
      </c>
      <c r="D15" s="244">
        <f t="shared" si="5"/>
        <v>-37869.804686009898</v>
      </c>
      <c r="E15" s="71"/>
      <c r="F15" s="225">
        <f>-Персонал!F38</f>
        <v>-2927.52</v>
      </c>
      <c r="G15" s="225">
        <f>-Персонал!G38</f>
        <v>-3091.4611199999999</v>
      </c>
      <c r="H15" s="225">
        <f>-Персонал!H38</f>
        <v>-3264.5829427200006</v>
      </c>
      <c r="I15" s="225">
        <f>-Персонал!I38</f>
        <v>-3447.3995875123201</v>
      </c>
      <c r="J15" s="225">
        <f>-Персонал!J38</f>
        <v>-3640.4539644130109</v>
      </c>
      <c r="K15" s="225">
        <f>-Персонал!K38</f>
        <v>-3844.3193864201394</v>
      </c>
      <c r="L15" s="225">
        <f>-Персонал!L38</f>
        <v>-4059.6012720596673</v>
      </c>
      <c r="M15" s="225">
        <f>-Персонал!M38</f>
        <v>-4286.9389432950084</v>
      </c>
      <c r="N15" s="225">
        <f>-Персонал!N38</f>
        <v>-4527.0075241195291</v>
      </c>
      <c r="O15" s="225">
        <f>-Персонал!O38</f>
        <v>-4780.5199454702233</v>
      </c>
      <c r="P15" s="349"/>
      <c r="Q15" s="156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outlineLevel="1">
      <c r="A16" s="255" t="str">
        <f t="array" aca="1" ref="A16" ca="1">HYPERLINK(CELL("адрес",Персонал!A51),"источник")</f>
        <v>источник</v>
      </c>
      <c r="B16" s="387" t="s">
        <v>68</v>
      </c>
      <c r="C16" s="264" t="s">
        <v>19</v>
      </c>
      <c r="D16" s="244">
        <f t="shared" si="5"/>
        <v>-64777.297489227465</v>
      </c>
      <c r="E16" s="71"/>
      <c r="F16" s="225">
        <f>-Персонал!F51</f>
        <v>-5007.5999999999995</v>
      </c>
      <c r="G16" s="225">
        <f>-Персонал!G51</f>
        <v>-5288.0256000000008</v>
      </c>
      <c r="H16" s="225">
        <f>-Персонал!H51</f>
        <v>-5584.1550336</v>
      </c>
      <c r="I16" s="225">
        <f>-Персонал!I51</f>
        <v>-5896.8677154815996</v>
      </c>
      <c r="J16" s="225">
        <f>-Персонал!J51</f>
        <v>-6227.0923075485716</v>
      </c>
      <c r="K16" s="225">
        <f>-Персонал!K51</f>
        <v>-6575.8094767712919</v>
      </c>
      <c r="L16" s="225">
        <f>-Персонал!L51</f>
        <v>-6944.0548074704839</v>
      </c>
      <c r="M16" s="225">
        <f>-Персонал!M51</f>
        <v>-7332.9218766888307</v>
      </c>
      <c r="N16" s="225">
        <f>-Персонал!N51</f>
        <v>-7743.5655017834051</v>
      </c>
      <c r="O16" s="225">
        <f>-Персонал!O51</f>
        <v>-8177.2051698832765</v>
      </c>
      <c r="P16" s="349"/>
      <c r="Q16" s="156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outlineLevel="1">
      <c r="A17" s="255" t="str">
        <f t="array" aca="1" ref="A17" ca="1">HYPERLINK(CELL("адрес",ОбщПрРасходы!A12),"источник")</f>
        <v>источник</v>
      </c>
      <c r="B17" s="387" t="s">
        <v>266</v>
      </c>
      <c r="C17" s="264" t="s">
        <v>19</v>
      </c>
      <c r="D17" s="244">
        <f t="shared" si="5"/>
        <v>-84042.749860710202</v>
      </c>
      <c r="E17" s="71"/>
      <c r="F17" s="225">
        <f>-ОбщПрРасходы!F5</f>
        <v>-7000</v>
      </c>
      <c r="G17" s="225">
        <f>-ОбщПрРасходы!G12</f>
        <v>-7280</v>
      </c>
      <c r="H17" s="225">
        <f>-ОбщПрРасходы!H12</f>
        <v>-7571.2000000000007</v>
      </c>
      <c r="I17" s="225">
        <f>-ОбщПрРасходы!I12</f>
        <v>-7874.0480000000007</v>
      </c>
      <c r="J17" s="225">
        <f>-ОбщПрРасходы!J12</f>
        <v>-8189.0099200000004</v>
      </c>
      <c r="K17" s="225">
        <f>-ОбщПрРасходы!K12</f>
        <v>-8516.5703168000018</v>
      </c>
      <c r="L17" s="225">
        <f>-ОбщПрРасходы!L12</f>
        <v>-8857.2331294720007</v>
      </c>
      <c r="M17" s="225">
        <f>-ОбщПрРасходы!M12</f>
        <v>-9211.5224546508816</v>
      </c>
      <c r="N17" s="225">
        <f>-ОбщПрРасходы!N12</f>
        <v>-9579.9833528369163</v>
      </c>
      <c r="O17" s="225">
        <f>-ОбщПрРасходы!O12</f>
        <v>-9963.1826869503948</v>
      </c>
      <c r="P17" s="349"/>
      <c r="Q17" s="156"/>
    </row>
    <row r="18" spans="1:17" outlineLevel="1">
      <c r="A18" s="255" t="str">
        <f t="array" aca="1" ref="A18" ca="1">HYPERLINK(CELL("адрес",АдмРасходы!A12),"источник")</f>
        <v>источник</v>
      </c>
      <c r="B18" s="387" t="s">
        <v>466</v>
      </c>
      <c r="C18" s="264" t="s">
        <v>19</v>
      </c>
      <c r="D18" s="244">
        <f t="shared" si="5"/>
        <v>-127264.73550336117</v>
      </c>
      <c r="E18" s="71"/>
      <c r="F18" s="225">
        <f>-АдмРасходы!F5</f>
        <v>-10600</v>
      </c>
      <c r="G18" s="225">
        <f>-АдмРасходы!G5</f>
        <v>-11024</v>
      </c>
      <c r="H18" s="225">
        <f>-АдмРасходы!H5</f>
        <v>-11464.96</v>
      </c>
      <c r="I18" s="225">
        <f>-АдмРасходы!I5</f>
        <v>-11923.558400000002</v>
      </c>
      <c r="J18" s="225">
        <f>-АдмРасходы!J5</f>
        <v>-12400.500736000002</v>
      </c>
      <c r="K18" s="225">
        <f>-АдмРасходы!K5</f>
        <v>-12896.520765440004</v>
      </c>
      <c r="L18" s="225">
        <f>-АдмРасходы!L5</f>
        <v>-13412.381596057603</v>
      </c>
      <c r="M18" s="225">
        <f>-АдмРасходы!M5</f>
        <v>-13948.876859899909</v>
      </c>
      <c r="N18" s="225">
        <f>-АдмРасходы!N5</f>
        <v>-14506.831934295906</v>
      </c>
      <c r="O18" s="225">
        <f>-АдмРасходы!O5</f>
        <v>-15087.105211667744</v>
      </c>
      <c r="P18" s="349"/>
      <c r="Q18" s="156"/>
    </row>
    <row r="19" spans="1:17" outlineLevel="1">
      <c r="A19" s="384"/>
      <c r="B19" s="387"/>
      <c r="C19" s="264"/>
      <c r="D19" s="244"/>
      <c r="E19" s="71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349"/>
      <c r="Q19" s="156"/>
    </row>
    <row r="20" spans="1:17" outlineLevel="1">
      <c r="A20" s="255" t="str">
        <f t="array" aca="1" ref="A20" ca="1">HYPERLINK(CELL("адрес",НДС!A16),"источник")</f>
        <v>источник</v>
      </c>
      <c r="B20" s="387" t="s">
        <v>74</v>
      </c>
      <c r="C20" s="264" t="s">
        <v>19</v>
      </c>
      <c r="D20" s="244">
        <f t="shared" si="5"/>
        <v>-77931.453479970573</v>
      </c>
      <c r="E20" s="71"/>
      <c r="F20" s="225">
        <f>-НДС!F16</f>
        <v>-5500</v>
      </c>
      <c r="G20" s="225">
        <f>-НДС!G16</f>
        <v>-6032</v>
      </c>
      <c r="H20" s="225">
        <f>-НДС!H16</f>
        <v>-6597.7600000000011</v>
      </c>
      <c r="I20" s="225">
        <f>-НДС!I16</f>
        <v>-7424.1024000000025</v>
      </c>
      <c r="J20" s="225">
        <f>-НДС!J16</f>
        <v>-7896.545280000003</v>
      </c>
      <c r="K20" s="225">
        <f>-НДС!K16</f>
        <v>-8212.4070912000025</v>
      </c>
      <c r="L20" s="225">
        <f>-НДС!L16</f>
        <v>-8540.9033748480033</v>
      </c>
      <c r="M20" s="225">
        <f>-НДС!M16</f>
        <v>-8882.5395098419231</v>
      </c>
      <c r="N20" s="225">
        <f>-НДС!N16</f>
        <v>-9237.841090235599</v>
      </c>
      <c r="O20" s="225">
        <f>-НДС!O16</f>
        <v>-9607.3547338450244</v>
      </c>
      <c r="P20" s="349"/>
      <c r="Q20" s="156"/>
    </row>
    <row r="21" spans="1:17" outlineLevel="1">
      <c r="A21" s="255" t="str">
        <f t="array" aca="1" ref="A21" ca="1">HYPERLINK(CELL("адрес",НалИмущество!A19),"источник")</f>
        <v>источник</v>
      </c>
      <c r="B21" s="387" t="s">
        <v>467</v>
      </c>
      <c r="C21" s="264" t="s">
        <v>19</v>
      </c>
      <c r="D21" s="244">
        <f t="shared" si="5"/>
        <v>0</v>
      </c>
      <c r="E21" s="71"/>
      <c r="F21" s="225">
        <f>-НалИмущество!F19</f>
        <v>0</v>
      </c>
      <c r="G21" s="225">
        <f>-НалИмущество!G19</f>
        <v>0</v>
      </c>
      <c r="H21" s="225">
        <f>-НалИмущество!H19</f>
        <v>0</v>
      </c>
      <c r="I21" s="225">
        <f>-НалИмущество!I19</f>
        <v>0</v>
      </c>
      <c r="J21" s="225">
        <f>-НалИмущество!J19</f>
        <v>0</v>
      </c>
      <c r="K21" s="225">
        <f>-НалИмущество!K19</f>
        <v>0</v>
      </c>
      <c r="L21" s="225">
        <f>-НалИмущество!L19</f>
        <v>0</v>
      </c>
      <c r="M21" s="225">
        <f>-НалИмущество!M19</f>
        <v>0</v>
      </c>
      <c r="N21" s="225">
        <f>-НалИмущество!N19</f>
        <v>0</v>
      </c>
      <c r="O21" s="225">
        <f>-НалИмущество!O19</f>
        <v>0</v>
      </c>
      <c r="P21" s="349"/>
      <c r="Q21" s="156"/>
    </row>
    <row r="22" spans="1:17" outlineLevel="1">
      <c r="A22" s="221" t="str">
        <f t="array" aca="1" ref="A22" ca="1">HYPERLINK(CELL("адрес",НалПрибыль!A27),"источник")</f>
        <v>источник</v>
      </c>
      <c r="B22" s="387" t="s">
        <v>342</v>
      </c>
      <c r="C22" s="264" t="s">
        <v>19</v>
      </c>
      <c r="D22" s="244">
        <f t="shared" ca="1" si="5"/>
        <v>0</v>
      </c>
      <c r="E22" s="71"/>
      <c r="F22" s="225">
        <f ca="1">-НалПрибыль!F27</f>
        <v>0</v>
      </c>
      <c r="G22" s="225">
        <f ca="1">-НалПрибыль!G27</f>
        <v>0</v>
      </c>
      <c r="H22" s="225">
        <f ca="1">-НалПрибыль!H27</f>
        <v>0</v>
      </c>
      <c r="I22" s="225">
        <f ca="1">-НалПрибыль!I27</f>
        <v>0</v>
      </c>
      <c r="J22" s="225">
        <f ca="1">-НалПрибыль!J27</f>
        <v>0</v>
      </c>
      <c r="K22" s="225">
        <f ca="1">-НалПрибыль!K27</f>
        <v>0</v>
      </c>
      <c r="L22" s="225">
        <f ca="1">-НалПрибыль!L27</f>
        <v>0</v>
      </c>
      <c r="M22" s="225">
        <f ca="1">-НалПрибыль!M27</f>
        <v>0</v>
      </c>
      <c r="N22" s="225">
        <f ca="1">-НалПрибыль!N27</f>
        <v>0</v>
      </c>
      <c r="O22" s="225">
        <f ca="1">-НалПрибыль!O27</f>
        <v>0</v>
      </c>
      <c r="P22" s="349"/>
      <c r="Q22" s="156"/>
    </row>
    <row r="23" spans="1:17" outlineLevel="1">
      <c r="A23" s="221" t="str">
        <f t="array" aca="1" ref="A23" ca="1">HYPERLINK(CELL("адрес",НалЗемля!A15),"источник")</f>
        <v>источник</v>
      </c>
      <c r="B23" s="387" t="s">
        <v>343</v>
      </c>
      <c r="C23" s="264" t="s">
        <v>19</v>
      </c>
      <c r="D23" s="244">
        <f t="shared" si="5"/>
        <v>0</v>
      </c>
      <c r="E23" s="71"/>
      <c r="F23" s="225">
        <f>-НалЗемля!F15</f>
        <v>0</v>
      </c>
      <c r="G23" s="225">
        <f>-НалЗемля!G15</f>
        <v>0</v>
      </c>
      <c r="H23" s="225">
        <f>-НалЗемля!H15</f>
        <v>0</v>
      </c>
      <c r="I23" s="225">
        <f>-НалЗемля!I15</f>
        <v>0</v>
      </c>
      <c r="J23" s="225">
        <f>-НалЗемля!J15</f>
        <v>0</v>
      </c>
      <c r="K23" s="225">
        <f>-НалЗемля!K15</f>
        <v>0</v>
      </c>
      <c r="L23" s="225">
        <f>-НалЗемля!L15</f>
        <v>0</v>
      </c>
      <c r="M23" s="225">
        <f>-НалЗемля!M15</f>
        <v>0</v>
      </c>
      <c r="N23" s="225">
        <f>-НалЗемля!N15</f>
        <v>0</v>
      </c>
      <c r="O23" s="225">
        <f>-НалЗемля!O15</f>
        <v>0</v>
      </c>
      <c r="P23" s="349"/>
      <c r="Q23" s="156"/>
    </row>
    <row r="24" spans="1:17" outlineLevel="1">
      <c r="A24" s="221"/>
      <c r="B24" s="387" t="s">
        <v>1125</v>
      </c>
      <c r="C24" s="264" t="s">
        <v>19</v>
      </c>
      <c r="D24" s="244">
        <f ca="1">SUM(F24:O24)</f>
        <v>-8157.6623265141607</v>
      </c>
      <c r="E24" s="71"/>
      <c r="F24" s="225">
        <f ca="1">-УСН!F14</f>
        <v>-130.1239999999998</v>
      </c>
      <c r="G24" s="225">
        <f ca="1">-УСН!G14</f>
        <v>-310.17094400000025</v>
      </c>
      <c r="H24" s="225">
        <f ca="1">-УСН!H14</f>
        <v>-557.96291686400048</v>
      </c>
      <c r="I24" s="225">
        <f ca="1">-УСН!I14</f>
        <v>-880.76493620838619</v>
      </c>
      <c r="J24" s="225">
        <f ca="1">-УСН!J14</f>
        <v>-1052.4279812760558</v>
      </c>
      <c r="K24" s="225">
        <f ca="1">-УСН!K14</f>
        <v>-1053.2921693091137</v>
      </c>
      <c r="L24" s="225">
        <f ca="1">-УСН!L14</f>
        <v>-1051.8818807152875</v>
      </c>
      <c r="M24" s="225">
        <f ca="1">-УСН!M14</f>
        <v>-1047.9768299572017</v>
      </c>
      <c r="N24" s="225">
        <f ca="1">-УСН!N14</f>
        <v>-1041.340678913537</v>
      </c>
      <c r="O24" s="225">
        <f ca="1">-УСН!O14</f>
        <v>-1031.7199892705783</v>
      </c>
      <c r="P24" s="349"/>
      <c r="Q24" s="156"/>
    </row>
    <row r="25" spans="1:17" outlineLevel="1">
      <c r="A25" s="255" t="str">
        <f t="array" aca="1" ref="A25" ca="1">HYPERLINK(CELL("адрес",ПрочРасходы!A5),"источник")</f>
        <v>источник</v>
      </c>
      <c r="B25" s="387" t="s">
        <v>278</v>
      </c>
      <c r="C25" s="264" t="s">
        <v>19</v>
      </c>
      <c r="D25" s="244">
        <f t="shared" si="5"/>
        <v>-28214.351738952715</v>
      </c>
      <c r="E25" s="71"/>
      <c r="F25" s="225">
        <f>-ПрочРасходы!F5</f>
        <v>-2350</v>
      </c>
      <c r="G25" s="225">
        <f>-ПрочРасходы!G5</f>
        <v>-2444</v>
      </c>
      <c r="H25" s="225">
        <f>-ПрочРасходы!H5</f>
        <v>-2541.7600000000002</v>
      </c>
      <c r="I25" s="225">
        <f>-ПрочРасходы!I5</f>
        <v>-2643.4304000000002</v>
      </c>
      <c r="J25" s="225">
        <f>-ПрочРасходы!J5</f>
        <v>-2749.1676160000006</v>
      </c>
      <c r="K25" s="225">
        <f>-ПрочРасходы!K5</f>
        <v>-2859.1343206400011</v>
      </c>
      <c r="L25" s="225">
        <f>-ПрочРасходы!L5</f>
        <v>-2973.499693465601</v>
      </c>
      <c r="M25" s="225">
        <f>-ПрочРасходы!M5</f>
        <v>-3092.4396812042251</v>
      </c>
      <c r="N25" s="225">
        <f>-ПрочРасходы!N5</f>
        <v>-3216.1372684523944</v>
      </c>
      <c r="O25" s="225">
        <f>-ПрочРасходы!O5</f>
        <v>-3344.7827591904902</v>
      </c>
      <c r="P25" s="349"/>
      <c r="Q25" s="156"/>
    </row>
    <row r="26" spans="1:17" outlineLevel="1">
      <c r="A26" s="255" t="str">
        <f t="array" aca="1" ref="A26" ca="1">HYPERLINK(CELL("адрес",Финансы!A26),"источник")</f>
        <v>источник</v>
      </c>
      <c r="B26" s="387" t="s">
        <v>223</v>
      </c>
      <c r="C26" s="264" t="s">
        <v>19</v>
      </c>
      <c r="D26" s="244">
        <f ca="1">SUM(F26:O26)</f>
        <v>0</v>
      </c>
      <c r="E26" s="71"/>
      <c r="F26" s="225">
        <f ca="1">-Финансы!F26</f>
        <v>0</v>
      </c>
      <c r="G26" s="225">
        <f ca="1">-Финансы!G26</f>
        <v>0</v>
      </c>
      <c r="H26" s="225">
        <f ca="1">-Финансы!H26</f>
        <v>0</v>
      </c>
      <c r="I26" s="225">
        <f ca="1">-Финансы!I26</f>
        <v>0</v>
      </c>
      <c r="J26" s="225">
        <f ca="1">-Финансы!J26</f>
        <v>0</v>
      </c>
      <c r="K26" s="225">
        <f ca="1">-Финансы!K26</f>
        <v>0</v>
      </c>
      <c r="L26" s="225">
        <f ca="1">-Финансы!L26</f>
        <v>0</v>
      </c>
      <c r="M26" s="225">
        <f ca="1">-Финансы!M26</f>
        <v>0</v>
      </c>
      <c r="N26" s="225">
        <f ca="1">-Финансы!N26</f>
        <v>0</v>
      </c>
      <c r="O26" s="225">
        <f ca="1">-Финансы!O26</f>
        <v>0</v>
      </c>
      <c r="P26" s="349"/>
      <c r="Q26" s="156"/>
    </row>
    <row r="27" spans="1:17" outlineLevel="1">
      <c r="A27" s="255"/>
      <c r="B27" s="387"/>
      <c r="C27" s="264"/>
      <c r="D27" s="244"/>
      <c r="E27" s="71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349"/>
      <c r="Q27" s="156"/>
    </row>
    <row r="28" spans="1:17">
      <c r="A28" s="383"/>
      <c r="B28" s="386" t="s">
        <v>70</v>
      </c>
      <c r="C28" s="264" t="s">
        <v>19</v>
      </c>
      <c r="D28" s="223">
        <f ca="1">D7+D11</f>
        <v>154995.58420376852</v>
      </c>
      <c r="E28" s="71"/>
      <c r="F28" s="223">
        <f ca="1">F7+F11</f>
        <v>2472.3559999999998</v>
      </c>
      <c r="G28" s="223">
        <f t="shared" ref="G28:O28" ca="1" si="6">G7+G11</f>
        <v>5893.2479360000143</v>
      </c>
      <c r="H28" s="223">
        <f t="shared" ca="1" si="6"/>
        <v>10601.295420416049</v>
      </c>
      <c r="I28" s="223">
        <f t="shared" ca="1" si="6"/>
        <v>16734.533787959343</v>
      </c>
      <c r="J28" s="223">
        <f t="shared" ca="1" si="6"/>
        <v>19996.131644245033</v>
      </c>
      <c r="K28" s="223">
        <f t="shared" ca="1" si="6"/>
        <v>20012.551216873166</v>
      </c>
      <c r="L28" s="223">
        <f t="shared" ca="1" si="6"/>
        <v>19985.755733590486</v>
      </c>
      <c r="M28" s="223">
        <f t="shared" ca="1" si="6"/>
        <v>19911.559769186861</v>
      </c>
      <c r="N28" s="223">
        <f t="shared" ca="1" si="6"/>
        <v>19785.472899357206</v>
      </c>
      <c r="O28" s="223">
        <f t="shared" ca="1" si="6"/>
        <v>19602.679796141019</v>
      </c>
      <c r="P28" s="348"/>
      <c r="Q28" s="156"/>
    </row>
    <row r="29" spans="1:17" ht="6.95" customHeight="1">
      <c r="A29" s="383"/>
      <c r="B29" s="386"/>
      <c r="C29" s="370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156"/>
    </row>
    <row r="30" spans="1:17">
      <c r="A30" s="382" t="s">
        <v>71</v>
      </c>
      <c r="B30" s="78"/>
      <c r="C30" s="392"/>
      <c r="D30" s="395"/>
      <c r="E30" s="71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677"/>
      <c r="Q30" s="156"/>
    </row>
    <row r="31" spans="1:17">
      <c r="A31" s="383"/>
      <c r="B31" s="386" t="s">
        <v>72</v>
      </c>
      <c r="C31" s="264" t="s">
        <v>19</v>
      </c>
      <c r="D31" s="223">
        <f>SUM(D32:D33)</f>
        <v>0</v>
      </c>
      <c r="E31" s="71"/>
      <c r="F31" s="223">
        <f t="shared" ref="F31:O31" si="7">SUM(F32:F33)</f>
        <v>0</v>
      </c>
      <c r="G31" s="223">
        <f t="shared" si="7"/>
        <v>0</v>
      </c>
      <c r="H31" s="223">
        <f t="shared" si="7"/>
        <v>0</v>
      </c>
      <c r="I31" s="223">
        <f t="shared" si="7"/>
        <v>0</v>
      </c>
      <c r="J31" s="223">
        <f t="shared" si="7"/>
        <v>0</v>
      </c>
      <c r="K31" s="223">
        <f t="shared" si="7"/>
        <v>0</v>
      </c>
      <c r="L31" s="223">
        <f t="shared" si="7"/>
        <v>0</v>
      </c>
      <c r="M31" s="223">
        <f t="shared" si="7"/>
        <v>0</v>
      </c>
      <c r="N31" s="223">
        <f t="shared" si="7"/>
        <v>0</v>
      </c>
      <c r="O31" s="223">
        <f t="shared" si="7"/>
        <v>0</v>
      </c>
      <c r="P31" s="348"/>
      <c r="Q31" s="156"/>
    </row>
    <row r="32" spans="1:17" outlineLevel="1">
      <c r="A32" s="384"/>
      <c r="B32" s="387" t="s">
        <v>75</v>
      </c>
      <c r="C32" s="264" t="s">
        <v>19</v>
      </c>
      <c r="D32" s="244">
        <f>SUM(F32:O32)</f>
        <v>0</v>
      </c>
      <c r="E32" s="71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349"/>
      <c r="Q32" s="156"/>
    </row>
    <row r="33" spans="1:17" outlineLevel="1">
      <c r="A33" s="255" t="str">
        <f t="array" aca="1" ref="A33" ca="1">HYPERLINK(CELL("адрес",Инвестиции!A8),"источник")</f>
        <v>источник</v>
      </c>
      <c r="B33" s="387" t="s">
        <v>77</v>
      </c>
      <c r="C33" s="264" t="s">
        <v>19</v>
      </c>
      <c r="D33" s="244">
        <f>SUM(F33:O33)</f>
        <v>0</v>
      </c>
      <c r="E33" s="71"/>
      <c r="F33" s="225">
        <f>Инвестиции!F8</f>
        <v>0</v>
      </c>
      <c r="G33" s="225">
        <f>Инвестиции!G8</f>
        <v>0</v>
      </c>
      <c r="H33" s="225">
        <f>Инвестиции!H8</f>
        <v>0</v>
      </c>
      <c r="I33" s="225">
        <f>Инвестиции!I8</f>
        <v>0</v>
      </c>
      <c r="J33" s="225">
        <f>Инвестиции!J8</f>
        <v>0</v>
      </c>
      <c r="K33" s="225">
        <f>Инвестиции!K8</f>
        <v>0</v>
      </c>
      <c r="L33" s="225">
        <f>Инвестиции!L8</f>
        <v>0</v>
      </c>
      <c r="M33" s="225">
        <f>Инвестиции!M8</f>
        <v>0</v>
      </c>
      <c r="N33" s="225">
        <f>Инвестиции!N8</f>
        <v>0</v>
      </c>
      <c r="O33" s="225">
        <f>Инвестиции!O8</f>
        <v>0</v>
      </c>
      <c r="P33" s="349"/>
      <c r="Q33" s="156"/>
    </row>
    <row r="34" spans="1:17" outlineLevel="1">
      <c r="A34" s="384"/>
      <c r="B34" s="388"/>
      <c r="C34" s="264" t="s">
        <v>19</v>
      </c>
      <c r="D34" s="396"/>
      <c r="E34" s="71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229"/>
      <c r="Q34" s="156"/>
    </row>
    <row r="35" spans="1:17">
      <c r="A35" s="383"/>
      <c r="B35" s="386" t="s">
        <v>73</v>
      </c>
      <c r="C35" s="264" t="s">
        <v>19</v>
      </c>
      <c r="D35" s="223">
        <f>SUM(D36:D37)</f>
        <v>0</v>
      </c>
      <c r="E35" s="71"/>
      <c r="F35" s="652">
        <f t="shared" ref="F35:O35" si="8">SUM(F36:F37)</f>
        <v>0</v>
      </c>
      <c r="G35" s="223">
        <f t="shared" si="8"/>
        <v>0</v>
      </c>
      <c r="H35" s="223">
        <f t="shared" si="8"/>
        <v>0</v>
      </c>
      <c r="I35" s="223">
        <f t="shared" si="8"/>
        <v>0</v>
      </c>
      <c r="J35" s="223">
        <f t="shared" si="8"/>
        <v>0</v>
      </c>
      <c r="K35" s="223">
        <f t="shared" si="8"/>
        <v>0</v>
      </c>
      <c r="L35" s="223">
        <f t="shared" si="8"/>
        <v>0</v>
      </c>
      <c r="M35" s="223">
        <f t="shared" si="8"/>
        <v>0</v>
      </c>
      <c r="N35" s="223">
        <f t="shared" si="8"/>
        <v>0</v>
      </c>
      <c r="O35" s="223">
        <f t="shared" si="8"/>
        <v>0</v>
      </c>
      <c r="P35" s="348"/>
      <c r="Q35" s="156"/>
    </row>
    <row r="36" spans="1:17" outlineLevel="1">
      <c r="A36" s="255" t="str">
        <f t="array" aca="1" ref="A36" ca="1">HYPERLINK(CELL("адрес",Инвестиции!A7),"источник")</f>
        <v>источник</v>
      </c>
      <c r="B36" s="387" t="s">
        <v>215</v>
      </c>
      <c r="C36" s="264" t="s">
        <v>19</v>
      </c>
      <c r="D36" s="244">
        <f>SUM(F36:O36)</f>
        <v>0</v>
      </c>
      <c r="E36" s="71"/>
      <c r="F36" s="225">
        <f>-Инвестиции!F7</f>
        <v>0</v>
      </c>
      <c r="G36" s="225">
        <f>-Инвестиции!G7</f>
        <v>0</v>
      </c>
      <c r="H36" s="225">
        <f>-Инвестиции!H7</f>
        <v>0</v>
      </c>
      <c r="I36" s="225">
        <f>-Инвестиции!I7</f>
        <v>0</v>
      </c>
      <c r="J36" s="225">
        <f>-Инвестиции!J7</f>
        <v>0</v>
      </c>
      <c r="K36" s="225">
        <f>-Инвестиции!K7</f>
        <v>0</v>
      </c>
      <c r="L36" s="225">
        <f>-Инвестиции!L7</f>
        <v>0</v>
      </c>
      <c r="M36" s="225">
        <f>-Инвестиции!M7</f>
        <v>0</v>
      </c>
      <c r="N36" s="225">
        <f>-Инвестиции!N7</f>
        <v>0</v>
      </c>
      <c r="O36" s="225">
        <f>-Инвестиции!O7</f>
        <v>0</v>
      </c>
      <c r="P36" s="349"/>
      <c r="Q36" s="156"/>
    </row>
    <row r="37" spans="1:17" outlineLevel="1">
      <c r="A37" s="384"/>
      <c r="B37" s="387"/>
      <c r="C37" s="264" t="s">
        <v>19</v>
      </c>
      <c r="D37" s="244">
        <f>SUM(F37:O37)</f>
        <v>0</v>
      </c>
      <c r="E37" s="71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349"/>
      <c r="Q37" s="156"/>
    </row>
    <row r="38" spans="1:17" outlineLevel="1">
      <c r="A38" s="384"/>
      <c r="B38" s="389"/>
      <c r="C38" s="264" t="s">
        <v>19</v>
      </c>
      <c r="D38" s="397"/>
      <c r="E38" s="71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678"/>
      <c r="Q38" s="156"/>
    </row>
    <row r="39" spans="1:17">
      <c r="A39" s="383"/>
      <c r="B39" s="386" t="s">
        <v>76</v>
      </c>
      <c r="C39" s="264" t="s">
        <v>19</v>
      </c>
      <c r="D39" s="223">
        <f>D31+D35</f>
        <v>0</v>
      </c>
      <c r="E39" s="71"/>
      <c r="F39" s="223">
        <f t="shared" ref="F39:O39" si="9">F31+F35</f>
        <v>0</v>
      </c>
      <c r="G39" s="223">
        <f t="shared" si="9"/>
        <v>0</v>
      </c>
      <c r="H39" s="223">
        <f t="shared" si="9"/>
        <v>0</v>
      </c>
      <c r="I39" s="223">
        <f t="shared" si="9"/>
        <v>0</v>
      </c>
      <c r="J39" s="223">
        <f t="shared" si="9"/>
        <v>0</v>
      </c>
      <c r="K39" s="223">
        <f t="shared" si="9"/>
        <v>0</v>
      </c>
      <c r="L39" s="223">
        <f t="shared" si="9"/>
        <v>0</v>
      </c>
      <c r="M39" s="223">
        <f t="shared" si="9"/>
        <v>0</v>
      </c>
      <c r="N39" s="223">
        <f t="shared" si="9"/>
        <v>0</v>
      </c>
      <c r="O39" s="223">
        <f t="shared" si="9"/>
        <v>0</v>
      </c>
      <c r="P39" s="348"/>
      <c r="Q39" s="156"/>
    </row>
    <row r="40" spans="1:17">
      <c r="A40" s="146"/>
      <c r="B40" s="146"/>
      <c r="C40" s="370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156"/>
    </row>
    <row r="41" spans="1:17">
      <c r="A41" s="382" t="s">
        <v>78</v>
      </c>
      <c r="B41" s="78"/>
      <c r="C41" s="392"/>
      <c r="D41" s="395"/>
      <c r="E41" s="71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677"/>
      <c r="Q41" s="156"/>
    </row>
    <row r="42" spans="1:17">
      <c r="A42" s="383"/>
      <c r="B42" s="386" t="s">
        <v>72</v>
      </c>
      <c r="C42" s="264" t="s">
        <v>19</v>
      </c>
      <c r="D42" s="223">
        <f>SUM(D43:D46)</f>
        <v>20000</v>
      </c>
      <c r="E42" s="71"/>
      <c r="F42" s="223">
        <f t="shared" ref="F42:O42" si="10">SUM(F43:F46)</f>
        <v>10000</v>
      </c>
      <c r="G42" s="223">
        <f t="shared" si="10"/>
        <v>0</v>
      </c>
      <c r="H42" s="223">
        <f t="shared" si="10"/>
        <v>0</v>
      </c>
      <c r="I42" s="223">
        <f t="shared" si="10"/>
        <v>0</v>
      </c>
      <c r="J42" s="223">
        <f t="shared" si="10"/>
        <v>0</v>
      </c>
      <c r="K42" s="223">
        <f t="shared" si="10"/>
        <v>10000</v>
      </c>
      <c r="L42" s="223">
        <f t="shared" si="10"/>
        <v>0</v>
      </c>
      <c r="M42" s="223">
        <f t="shared" si="10"/>
        <v>0</v>
      </c>
      <c r="N42" s="223">
        <f t="shared" si="10"/>
        <v>0</v>
      </c>
      <c r="O42" s="223">
        <f t="shared" si="10"/>
        <v>0</v>
      </c>
      <c r="P42" s="348"/>
      <c r="Q42" s="156"/>
    </row>
    <row r="43" spans="1:17" outlineLevel="1">
      <c r="A43" s="255" t="str">
        <f t="array" aca="1" ref="A43" ca="1">HYPERLINK(CELL("адрес",Финансы!A7),"источник")</f>
        <v>источник</v>
      </c>
      <c r="B43" s="387" t="s">
        <v>279</v>
      </c>
      <c r="C43" s="264" t="s">
        <v>19</v>
      </c>
      <c r="D43" s="244">
        <f>SUM(F43:O43)</f>
        <v>20000</v>
      </c>
      <c r="E43" s="71"/>
      <c r="F43" s="225">
        <f>Финансы!F7</f>
        <v>10000</v>
      </c>
      <c r="G43" s="225">
        <f>Финансы!G7</f>
        <v>0</v>
      </c>
      <c r="H43" s="225">
        <f>Финансы!H7</f>
        <v>0</v>
      </c>
      <c r="I43" s="225">
        <f>Финансы!I7</f>
        <v>0</v>
      </c>
      <c r="J43" s="225">
        <f>Финансы!J7</f>
        <v>0</v>
      </c>
      <c r="K43" s="225">
        <f>Финансы!K7</f>
        <v>10000</v>
      </c>
      <c r="L43" s="225">
        <f>Финансы!L7</f>
        <v>0</v>
      </c>
      <c r="M43" s="225">
        <f>Финансы!M7</f>
        <v>0</v>
      </c>
      <c r="N43" s="225">
        <f>Финансы!N7</f>
        <v>0</v>
      </c>
      <c r="O43" s="225">
        <f>Финансы!O7</f>
        <v>0</v>
      </c>
      <c r="P43" s="349"/>
      <c r="Q43" s="156"/>
    </row>
    <row r="44" spans="1:17" outlineLevel="1">
      <c r="A44" s="384"/>
      <c r="B44" s="387" t="s">
        <v>80</v>
      </c>
      <c r="C44" s="264" t="s">
        <v>19</v>
      </c>
      <c r="D44" s="244">
        <f>SUM(F44:O44)</f>
        <v>0</v>
      </c>
      <c r="E44" s="71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349"/>
      <c r="Q44" s="156"/>
    </row>
    <row r="45" spans="1:17" outlineLevel="1">
      <c r="A45" s="384"/>
      <c r="B45" s="387" t="s">
        <v>81</v>
      </c>
      <c r="C45" s="264" t="s">
        <v>19</v>
      </c>
      <c r="D45" s="244">
        <f>SUM(F45:O45)</f>
        <v>0</v>
      </c>
      <c r="E45" s="71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349"/>
      <c r="Q45" s="156"/>
    </row>
    <row r="46" spans="1:17" outlineLevel="1">
      <c r="A46" s="255" t="str">
        <f t="array" aca="1" ref="A46" ca="1">HYPERLINK(CELL("адрес",Финансы!A22),"источник")</f>
        <v>источник</v>
      </c>
      <c r="B46" s="387" t="s">
        <v>224</v>
      </c>
      <c r="C46" s="264" t="s">
        <v>19</v>
      </c>
      <c r="D46" s="244">
        <f>SUM(F46:O46)</f>
        <v>0</v>
      </c>
      <c r="E46" s="71"/>
      <c r="F46" s="244">
        <f>Финансы!F32</f>
        <v>0</v>
      </c>
      <c r="G46" s="244">
        <f>Финансы!G32</f>
        <v>0</v>
      </c>
      <c r="H46" s="244">
        <f>Финансы!H32</f>
        <v>0</v>
      </c>
      <c r="I46" s="244">
        <f>Финансы!I32</f>
        <v>0</v>
      </c>
      <c r="J46" s="244">
        <f>Финансы!J32</f>
        <v>0</v>
      </c>
      <c r="K46" s="244">
        <f>Финансы!K32</f>
        <v>0</v>
      </c>
      <c r="L46" s="244">
        <f>Финансы!L32</f>
        <v>0</v>
      </c>
      <c r="M46" s="244">
        <f>Финансы!M32</f>
        <v>0</v>
      </c>
      <c r="N46" s="244">
        <f>Финансы!N32</f>
        <v>0</v>
      </c>
      <c r="O46" s="244">
        <f>Финансы!O32</f>
        <v>0</v>
      </c>
      <c r="P46" s="349"/>
      <c r="Q46" s="156"/>
    </row>
    <row r="47" spans="1:17" outlineLevel="1">
      <c r="A47" s="384"/>
      <c r="B47" s="388"/>
      <c r="C47" s="264" t="s">
        <v>19</v>
      </c>
      <c r="D47" s="396"/>
      <c r="E47" s="71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229"/>
      <c r="Q47" s="156"/>
    </row>
    <row r="48" spans="1:17">
      <c r="A48" s="383"/>
      <c r="B48" s="386" t="s">
        <v>73</v>
      </c>
      <c r="C48" s="264" t="s">
        <v>19</v>
      </c>
      <c r="D48" s="223">
        <f>SUM(D49:D51)</f>
        <v>0</v>
      </c>
      <c r="E48" s="71"/>
      <c r="F48" s="223">
        <f t="shared" ref="F48:O48" si="11">SUM(F49:F51)</f>
        <v>0</v>
      </c>
      <c r="G48" s="223">
        <f t="shared" si="11"/>
        <v>0</v>
      </c>
      <c r="H48" s="223">
        <f t="shared" si="11"/>
        <v>0</v>
      </c>
      <c r="I48" s="223">
        <f t="shared" si="11"/>
        <v>0</v>
      </c>
      <c r="J48" s="223">
        <f t="shared" si="11"/>
        <v>0</v>
      </c>
      <c r="K48" s="223">
        <f t="shared" si="11"/>
        <v>0</v>
      </c>
      <c r="L48" s="223">
        <f t="shared" si="11"/>
        <v>0</v>
      </c>
      <c r="M48" s="223">
        <f t="shared" si="11"/>
        <v>0</v>
      </c>
      <c r="N48" s="223">
        <f t="shared" si="11"/>
        <v>0</v>
      </c>
      <c r="O48" s="223">
        <f t="shared" si="11"/>
        <v>0</v>
      </c>
      <c r="P48" s="348"/>
      <c r="Q48" s="156"/>
    </row>
    <row r="49" spans="1:17" outlineLevel="1">
      <c r="A49" s="255" t="str">
        <f t="array" aca="1" ref="A49" ca="1">HYPERLINK(CELL("адрес",Финансы!A23),"источник")</f>
        <v>источник</v>
      </c>
      <c r="B49" s="387" t="s">
        <v>328</v>
      </c>
      <c r="C49" s="264" t="s">
        <v>19</v>
      </c>
      <c r="D49" s="244">
        <f>SUM(F49:O49)</f>
        <v>0</v>
      </c>
      <c r="E49" s="71"/>
      <c r="F49" s="225">
        <f>-Финансы!F33</f>
        <v>0</v>
      </c>
      <c r="G49" s="225">
        <f>-Финансы!G33</f>
        <v>0</v>
      </c>
      <c r="H49" s="225">
        <f>-Финансы!H33</f>
        <v>0</v>
      </c>
      <c r="I49" s="225">
        <f>-Финансы!I33</f>
        <v>0</v>
      </c>
      <c r="J49" s="225">
        <f>-Финансы!J33</f>
        <v>0</v>
      </c>
      <c r="K49" s="225">
        <f>-Финансы!K33</f>
        <v>0</v>
      </c>
      <c r="L49" s="225">
        <f>-Финансы!L33</f>
        <v>0</v>
      </c>
      <c r="M49" s="225">
        <f>-Финансы!M33</f>
        <v>0</v>
      </c>
      <c r="N49" s="225">
        <f>-Финансы!N33</f>
        <v>0</v>
      </c>
      <c r="O49" s="225">
        <f>-Финансы!O33</f>
        <v>0</v>
      </c>
      <c r="P49" s="349"/>
      <c r="Q49" s="156"/>
    </row>
    <row r="50" spans="1:17">
      <c r="A50" s="71"/>
      <c r="B50" s="71"/>
      <c r="C50" s="39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</row>
    <row r="51" spans="1:17" outlineLevel="1">
      <c r="A51" s="384"/>
      <c r="B51" s="387" t="s">
        <v>82</v>
      </c>
      <c r="C51" s="264" t="s">
        <v>19</v>
      </c>
      <c r="D51" s="244">
        <f>SUM(F51:O51)</f>
        <v>0</v>
      </c>
      <c r="E51" s="71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349"/>
      <c r="Q51" s="156"/>
    </row>
    <row r="52" spans="1:17" outlineLevel="1">
      <c r="A52" s="384"/>
      <c r="B52" s="389"/>
      <c r="C52" s="264"/>
      <c r="D52" s="397"/>
      <c r="E52" s="71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678"/>
      <c r="Q52" s="156"/>
    </row>
    <row r="53" spans="1:17">
      <c r="A53" s="383"/>
      <c r="B53" s="386" t="s">
        <v>79</v>
      </c>
      <c r="C53" s="264" t="s">
        <v>19</v>
      </c>
      <c r="D53" s="223">
        <f>D42+D48</f>
        <v>20000</v>
      </c>
      <c r="E53" s="71"/>
      <c r="F53" s="223">
        <f t="shared" ref="F53:O53" si="12">F42+F48</f>
        <v>10000</v>
      </c>
      <c r="G53" s="223">
        <f t="shared" si="12"/>
        <v>0</v>
      </c>
      <c r="H53" s="223">
        <f t="shared" si="12"/>
        <v>0</v>
      </c>
      <c r="I53" s="223">
        <f t="shared" si="12"/>
        <v>0</v>
      </c>
      <c r="J53" s="223">
        <f t="shared" si="12"/>
        <v>0</v>
      </c>
      <c r="K53" s="223">
        <f t="shared" si="12"/>
        <v>10000</v>
      </c>
      <c r="L53" s="223">
        <f t="shared" si="12"/>
        <v>0</v>
      </c>
      <c r="M53" s="223">
        <f t="shared" si="12"/>
        <v>0</v>
      </c>
      <c r="N53" s="223">
        <f t="shared" si="12"/>
        <v>0</v>
      </c>
      <c r="O53" s="223">
        <f t="shared" si="12"/>
        <v>0</v>
      </c>
      <c r="P53" s="348"/>
      <c r="Q53" s="156"/>
    </row>
    <row r="54" spans="1:17" ht="6.4" customHeight="1">
      <c r="A54" s="71"/>
      <c r="B54" s="71"/>
      <c r="C54" s="367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156"/>
    </row>
    <row r="55" spans="1:17">
      <c r="A55" s="382" t="s">
        <v>83</v>
      </c>
      <c r="B55" s="78"/>
      <c r="C55" s="392"/>
      <c r="D55" s="395"/>
      <c r="E55" s="71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677"/>
      <c r="Q55" s="156"/>
    </row>
    <row r="56" spans="1:17">
      <c r="A56" s="384"/>
      <c r="B56" s="387" t="s">
        <v>72</v>
      </c>
      <c r="C56" s="264" t="s">
        <v>19</v>
      </c>
      <c r="D56" s="244">
        <f>SUM(F56:O56)</f>
        <v>1656560.5230793813</v>
      </c>
      <c r="E56" s="71"/>
      <c r="F56" s="225">
        <f t="shared" ref="F56:O56" si="13">F7+F31+F42</f>
        <v>125500</v>
      </c>
      <c r="G56" s="225">
        <f t="shared" si="13"/>
        <v>126672</v>
      </c>
      <c r="H56" s="225">
        <f t="shared" si="13"/>
        <v>138552.96000000002</v>
      </c>
      <c r="I56" s="225">
        <f t="shared" si="13"/>
        <v>155906.15040000004</v>
      </c>
      <c r="J56" s="225">
        <f t="shared" si="13"/>
        <v>165827.45088000005</v>
      </c>
      <c r="K56" s="225">
        <f t="shared" si="13"/>
        <v>182460.54891520005</v>
      </c>
      <c r="L56" s="225">
        <f t="shared" si="13"/>
        <v>179358.97087180807</v>
      </c>
      <c r="M56" s="225">
        <f t="shared" si="13"/>
        <v>186533.32970668035</v>
      </c>
      <c r="N56" s="225">
        <f t="shared" si="13"/>
        <v>193994.66289494757</v>
      </c>
      <c r="O56" s="225">
        <f t="shared" si="13"/>
        <v>201754.4494107455</v>
      </c>
      <c r="P56" s="349"/>
      <c r="Q56" s="156"/>
    </row>
    <row r="57" spans="1:17">
      <c r="A57" s="384"/>
      <c r="B57" s="387" t="s">
        <v>73</v>
      </c>
      <c r="C57" s="264" t="s">
        <v>19</v>
      </c>
      <c r="D57" s="244">
        <f ca="1">SUM(F57:O57)</f>
        <v>-1481564.9388756126</v>
      </c>
      <c r="E57" s="71"/>
      <c r="F57" s="225">
        <f t="shared" ref="F57:O57" ca="1" si="14">F11+F35+F48</f>
        <v>-113027.644</v>
      </c>
      <c r="G57" s="225">
        <f t="shared" ca="1" si="14"/>
        <v>-120778.75206399999</v>
      </c>
      <c r="H57" s="225">
        <f t="shared" ca="1" si="14"/>
        <v>-127951.66457958397</v>
      </c>
      <c r="I57" s="225">
        <f t="shared" ca="1" si="14"/>
        <v>-139171.6166120407</v>
      </c>
      <c r="J57" s="225">
        <f t="shared" ca="1" si="14"/>
        <v>-145831.31923575501</v>
      </c>
      <c r="K57" s="225">
        <f t="shared" ca="1" si="14"/>
        <v>-152447.99769832689</v>
      </c>
      <c r="L57" s="225">
        <f t="shared" ca="1" si="14"/>
        <v>-159373.21513821758</v>
      </c>
      <c r="M57" s="225">
        <f t="shared" ca="1" si="14"/>
        <v>-166621.76993749349</v>
      </c>
      <c r="N57" s="225">
        <f t="shared" ca="1" si="14"/>
        <v>-174209.18999559036</v>
      </c>
      <c r="O57" s="225">
        <f t="shared" ca="1" si="14"/>
        <v>-182151.76961460448</v>
      </c>
      <c r="P57" s="349"/>
      <c r="Q57" s="156"/>
    </row>
    <row r="58" spans="1:17" ht="7.15" customHeight="1">
      <c r="A58" s="384"/>
      <c r="B58" s="387"/>
      <c r="C58" s="264"/>
      <c r="D58" s="244"/>
      <c r="E58" s="71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349"/>
      <c r="Q58" s="156"/>
    </row>
    <row r="59" spans="1:17" ht="15.75" thickBot="1">
      <c r="A59" s="385"/>
      <c r="B59" s="390" t="s">
        <v>84</v>
      </c>
      <c r="C59" s="393" t="s">
        <v>19</v>
      </c>
      <c r="D59" s="379">
        <f t="shared" ref="D59:O59" ca="1" si="15">D5+D56+D57</f>
        <v>174995.58420376875</v>
      </c>
      <c r="E59" s="376"/>
      <c r="F59" s="379">
        <f t="shared" ca="1" si="15"/>
        <v>12472.356</v>
      </c>
      <c r="G59" s="379">
        <f t="shared" ca="1" si="15"/>
        <v>18365.603936000014</v>
      </c>
      <c r="H59" s="379">
        <f t="shared" ca="1" si="15"/>
        <v>28966.899356416077</v>
      </c>
      <c r="I59" s="379">
        <f t="shared" ca="1" si="15"/>
        <v>45701.43314437542</v>
      </c>
      <c r="J59" s="379">
        <f t="shared" ca="1" si="15"/>
        <v>65697.564788620453</v>
      </c>
      <c r="K59" s="379">
        <f t="shared" ca="1" si="15"/>
        <v>95710.116005493619</v>
      </c>
      <c r="L59" s="379">
        <f t="shared" ca="1" si="15"/>
        <v>115695.8717390841</v>
      </c>
      <c r="M59" s="379">
        <f t="shared" ca="1" si="15"/>
        <v>135607.43150827097</v>
      </c>
      <c r="N59" s="379">
        <f t="shared" ca="1" si="15"/>
        <v>155392.90440762817</v>
      </c>
      <c r="O59" s="379">
        <f t="shared" ca="1" si="15"/>
        <v>174995.58420376916</v>
      </c>
      <c r="P59" s="349"/>
      <c r="Q59" s="156"/>
    </row>
    <row r="60" spans="1:17">
      <c r="A60" s="71"/>
      <c r="B60" s="71"/>
      <c r="C60" s="367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156"/>
    </row>
    <row r="61" spans="1:17">
      <c r="A61" s="71"/>
      <c r="B61" s="71"/>
      <c r="C61" s="367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156"/>
    </row>
    <row r="62" spans="1:17">
      <c r="A62" s="71"/>
      <c r="B62" s="71"/>
      <c r="C62" s="367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17">
      <c r="A63" s="71"/>
      <c r="B63" s="364"/>
      <c r="C63" s="367"/>
      <c r="D63" s="71"/>
      <c r="E63" s="71"/>
      <c r="F63" s="364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</row>
    <row r="64" spans="1:17">
      <c r="A64" s="71"/>
      <c r="B64" s="71"/>
      <c r="C64" s="367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</row>
    <row r="65" spans="1:17">
      <c r="A65" s="71"/>
      <c r="B65" s="169" t="str">
        <f t="array" aca="1" ref="B65" ca="1">HYPERLINK(CELL("адрес",БДР!$A$1),"Перейти на лист БДР")</f>
        <v>Перейти на лист БДР</v>
      </c>
      <c r="C65" s="367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</row>
    <row r="66" spans="1:17">
      <c r="B66" s="169" t="str">
        <f t="array" aca="1" ref="B66" ca="1">HYPERLINK(CELL("адрес",Баланс!$A$1),"Перейти на лист Баланс")</f>
        <v>Перейти на лист Баланс</v>
      </c>
      <c r="C66" s="367"/>
    </row>
    <row r="67" spans="1:17">
      <c r="B67" s="537" t="str">
        <f t="array" aca="1" ref="B67" ca="1">HYPERLINK(CELL("адрес",Дашборд_ИтогТабл!$A$1),"Перейти на лист Дашборд_1")</f>
        <v>Перейти на лист Дашборд_1</v>
      </c>
      <c r="C67" s="367"/>
    </row>
    <row r="68" spans="1:17">
      <c r="B68" s="537" t="str">
        <f t="array" aca="1" ref="B68" ca="1">HYPERLINK(CELL("адрес",Дашборд_Основной!$A$1),"Перейти на лист Дашборд_Общий")</f>
        <v>Перейти на лист Дашборд_Общий</v>
      </c>
      <c r="C68" s="367"/>
    </row>
    <row r="69" spans="1:17">
      <c r="B69" s="537" t="str">
        <f t="array" aca="1" ref="B69" ca="1">HYPERLINK(CELL("адрес",Дашборд_налоги!$A$1),"Перейти на лист Дашборд_Налоги")</f>
        <v>Перейти на лист Дашборд_Налоги</v>
      </c>
      <c r="C69" s="367"/>
    </row>
    <row r="70" spans="1:17">
      <c r="B70" s="71"/>
      <c r="C70" s="367"/>
    </row>
    <row r="71" spans="1:17">
      <c r="B71" s="71"/>
      <c r="C71" s="367"/>
    </row>
    <row r="72" spans="1:17">
      <c r="B72" s="71"/>
      <c r="C72" s="367"/>
    </row>
    <row r="73" spans="1:17">
      <c r="B73" s="71"/>
      <c r="C73" s="367"/>
    </row>
    <row r="74" spans="1:17">
      <c r="B74" s="71"/>
      <c r="C74" s="367"/>
    </row>
    <row r="75" spans="1:17">
      <c r="B75" s="71"/>
      <c r="C75" s="367"/>
    </row>
    <row r="76" spans="1:17">
      <c r="B76" s="71"/>
      <c r="C76" s="367"/>
    </row>
    <row r="77" spans="1:17">
      <c r="B77" s="71"/>
      <c r="C77" s="367"/>
    </row>
    <row r="78" spans="1:17">
      <c r="B78" s="71"/>
      <c r="C78" s="367"/>
    </row>
    <row r="79" spans="1:17">
      <c r="B79" s="71"/>
      <c r="C79" s="367"/>
    </row>
    <row r="80" spans="1:17">
      <c r="B80" s="71"/>
      <c r="C80" s="367"/>
    </row>
    <row r="81" spans="2:3">
      <c r="B81" s="71"/>
      <c r="C81" s="367"/>
    </row>
    <row r="82" spans="2:3">
      <c r="C82" s="367"/>
    </row>
    <row r="83" spans="2:3">
      <c r="C83" s="367"/>
    </row>
    <row r="84" spans="2:3">
      <c r="C84" s="367"/>
    </row>
    <row r="85" spans="2:3">
      <c r="C85" s="367"/>
    </row>
    <row r="86" spans="2:3">
      <c r="C86" s="367"/>
    </row>
    <row r="87" spans="2:3">
      <c r="C87" s="367"/>
    </row>
    <row r="88" spans="2:3">
      <c r="C88" s="367"/>
    </row>
    <row r="89" spans="2:3">
      <c r="C89" s="367"/>
    </row>
    <row r="90" spans="2:3">
      <c r="C90" s="367"/>
    </row>
    <row r="91" spans="2:3">
      <c r="C91" s="367"/>
    </row>
    <row r="92" spans="2:3">
      <c r="C92" s="367"/>
    </row>
    <row r="93" spans="2:3">
      <c r="C93" s="367"/>
    </row>
    <row r="94" spans="2:3">
      <c r="C94" s="367"/>
    </row>
    <row r="95" spans="2:3">
      <c r="C95" s="367"/>
    </row>
    <row r="96" spans="2:3">
      <c r="C96" s="367"/>
    </row>
    <row r="97" spans="3:3">
      <c r="C97" s="367"/>
    </row>
    <row r="98" spans="3:3">
      <c r="C98" s="367"/>
    </row>
    <row r="99" spans="3:3">
      <c r="C99" s="367"/>
    </row>
    <row r="100" spans="3:3">
      <c r="C100" s="367"/>
    </row>
    <row r="101" spans="3:3">
      <c r="C101" s="367"/>
    </row>
    <row r="102" spans="3:3">
      <c r="C102" s="367"/>
    </row>
    <row r="103" spans="3:3">
      <c r="C103" s="367"/>
    </row>
    <row r="104" spans="3:3">
      <c r="C104" s="367"/>
    </row>
    <row r="105" spans="3:3">
      <c r="C105" s="367"/>
    </row>
    <row r="106" spans="3:3">
      <c r="C106" s="367"/>
    </row>
    <row r="107" spans="3:3">
      <c r="C107" s="367"/>
    </row>
    <row r="108" spans="3:3">
      <c r="C108" s="367"/>
    </row>
    <row r="109" spans="3:3">
      <c r="C109" s="367"/>
    </row>
    <row r="110" spans="3:3">
      <c r="C110" s="367"/>
    </row>
    <row r="111" spans="3:3">
      <c r="C111" s="367"/>
    </row>
    <row r="112" spans="3:3">
      <c r="C112" s="367"/>
    </row>
    <row r="113" spans="3:3">
      <c r="C113" s="367"/>
    </row>
    <row r="114" spans="3:3">
      <c r="C114" s="367"/>
    </row>
    <row r="115" spans="3:3">
      <c r="C115" s="367"/>
    </row>
    <row r="116" spans="3:3">
      <c r="C116" s="367"/>
    </row>
    <row r="117" spans="3:3">
      <c r="C117" s="367"/>
    </row>
    <row r="118" spans="3:3">
      <c r="C118" s="367"/>
    </row>
    <row r="119" spans="3:3">
      <c r="C119" s="367"/>
    </row>
    <row r="120" spans="3:3">
      <c r="C120" s="367"/>
    </row>
    <row r="121" spans="3:3">
      <c r="C121" s="367"/>
    </row>
    <row r="122" spans="3:3">
      <c r="C122" s="367"/>
    </row>
    <row r="123" spans="3:3">
      <c r="C123" s="367"/>
    </row>
    <row r="124" spans="3:3">
      <c r="C124" s="367"/>
    </row>
    <row r="125" spans="3:3">
      <c r="C125" s="367"/>
    </row>
    <row r="126" spans="3:3">
      <c r="C126" s="367"/>
    </row>
    <row r="127" spans="3:3">
      <c r="C127" s="367"/>
    </row>
    <row r="128" spans="3:3">
      <c r="C128" s="367"/>
    </row>
    <row r="129" spans="3:3">
      <c r="C129" s="367"/>
    </row>
    <row r="130" spans="3:3">
      <c r="C130" s="367"/>
    </row>
    <row r="131" spans="3:3">
      <c r="C131" s="367"/>
    </row>
    <row r="132" spans="3:3">
      <c r="C132" s="367"/>
    </row>
    <row r="133" spans="3:3">
      <c r="C133" s="367"/>
    </row>
    <row r="134" spans="3:3">
      <c r="C134" s="367"/>
    </row>
    <row r="135" spans="3:3">
      <c r="C135" s="367"/>
    </row>
    <row r="136" spans="3:3">
      <c r="C136" s="367"/>
    </row>
    <row r="137" spans="3:3">
      <c r="C137" s="367"/>
    </row>
    <row r="138" spans="3:3">
      <c r="C138" s="367"/>
    </row>
    <row r="139" spans="3:3">
      <c r="C139" s="367"/>
    </row>
    <row r="140" spans="3:3">
      <c r="C140" s="367"/>
    </row>
    <row r="141" spans="3:3">
      <c r="C141" s="367"/>
    </row>
    <row r="142" spans="3:3">
      <c r="C142" s="367"/>
    </row>
    <row r="143" spans="3:3">
      <c r="C143" s="367"/>
    </row>
    <row r="144" spans="3:3">
      <c r="C144" s="367"/>
    </row>
    <row r="145" spans="3:3">
      <c r="C145" s="367"/>
    </row>
    <row r="146" spans="3:3">
      <c r="C146" s="367"/>
    </row>
    <row r="147" spans="3:3">
      <c r="C147" s="367"/>
    </row>
    <row r="148" spans="3:3">
      <c r="C148" s="367"/>
    </row>
    <row r="149" spans="3:3">
      <c r="C149" s="367"/>
    </row>
    <row r="150" spans="3:3">
      <c r="C150" s="367"/>
    </row>
    <row r="151" spans="3:3">
      <c r="C151" s="367"/>
    </row>
    <row r="152" spans="3:3">
      <c r="C152" s="367"/>
    </row>
    <row r="153" spans="3:3">
      <c r="C153" s="367"/>
    </row>
    <row r="154" spans="3:3">
      <c r="C154" s="367"/>
    </row>
    <row r="155" spans="3:3">
      <c r="C155" s="367"/>
    </row>
    <row r="156" spans="3:3">
      <c r="C156" s="367"/>
    </row>
    <row r="157" spans="3:3">
      <c r="C157" s="367"/>
    </row>
    <row r="158" spans="3:3">
      <c r="C158" s="367"/>
    </row>
    <row r="159" spans="3:3">
      <c r="C159" s="367"/>
    </row>
    <row r="160" spans="3:3">
      <c r="C160" s="367"/>
    </row>
    <row r="161" spans="3:3">
      <c r="C161" s="367"/>
    </row>
    <row r="162" spans="3:3">
      <c r="C162" s="367"/>
    </row>
    <row r="163" spans="3:3">
      <c r="C163" s="367"/>
    </row>
    <row r="164" spans="3:3">
      <c r="C164" s="367"/>
    </row>
    <row r="165" spans="3:3">
      <c r="C165" s="367"/>
    </row>
    <row r="166" spans="3:3">
      <c r="C166" s="367"/>
    </row>
    <row r="167" spans="3:3">
      <c r="C167" s="367"/>
    </row>
    <row r="168" spans="3:3">
      <c r="C168" s="367"/>
    </row>
    <row r="169" spans="3:3">
      <c r="C169" s="367"/>
    </row>
    <row r="170" spans="3:3">
      <c r="C170" s="367"/>
    </row>
    <row r="171" spans="3:3">
      <c r="C171" s="367"/>
    </row>
    <row r="172" spans="3:3">
      <c r="C172" s="367"/>
    </row>
    <row r="173" spans="3:3">
      <c r="C173" s="367"/>
    </row>
    <row r="174" spans="3:3">
      <c r="C174" s="367"/>
    </row>
    <row r="175" spans="3:3">
      <c r="C175" s="367"/>
    </row>
    <row r="176" spans="3:3">
      <c r="C176" s="367"/>
    </row>
    <row r="177" spans="3:3">
      <c r="C177" s="367"/>
    </row>
    <row r="178" spans="3:3">
      <c r="C178" s="367"/>
    </row>
    <row r="179" spans="3:3">
      <c r="C179" s="367"/>
    </row>
    <row r="180" spans="3:3">
      <c r="C180" s="367"/>
    </row>
    <row r="181" spans="3:3">
      <c r="C181" s="367"/>
    </row>
    <row r="182" spans="3:3">
      <c r="C182" s="367"/>
    </row>
    <row r="183" spans="3:3">
      <c r="C183" s="367"/>
    </row>
    <row r="184" spans="3:3">
      <c r="C184" s="367"/>
    </row>
    <row r="185" spans="3:3">
      <c r="C185" s="367"/>
    </row>
    <row r="186" spans="3:3">
      <c r="C186" s="367"/>
    </row>
    <row r="187" spans="3:3">
      <c r="C187" s="367"/>
    </row>
    <row r="188" spans="3:3">
      <c r="C188" s="367"/>
    </row>
    <row r="189" spans="3:3">
      <c r="C189" s="367"/>
    </row>
    <row r="190" spans="3:3">
      <c r="C190" s="367"/>
    </row>
    <row r="191" spans="3:3">
      <c r="C191" s="367"/>
    </row>
  </sheetData>
  <hyperlinks>
    <hyperlink ref="M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74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5" tint="0.79998168889431442"/>
    <outlinePr summaryBelow="0" summaryRight="0"/>
    <pageSetUpPr fitToPage="1"/>
  </sheetPr>
  <dimension ref="A1:AD52"/>
  <sheetViews>
    <sheetView zoomScaleNormal="100" workbookViewId="0">
      <pane xSplit="4" ySplit="4" topLeftCell="E5" activePane="bottomRight" state="frozen"/>
      <selection activeCell="C1" sqref="C1"/>
      <selection pane="topRight" activeCell="C1" sqref="C1"/>
      <selection pane="bottomLeft" activeCell="C1" sqref="C1"/>
      <selection pane="bottomRight" activeCell="L10" sqref="L10"/>
    </sheetView>
  </sheetViews>
  <sheetFormatPr defaultRowHeight="15" outlineLevelRow="1" outlineLevelCol="1"/>
  <cols>
    <col min="1" max="1" width="9" customWidth="1"/>
    <col min="2" max="2" width="36" style="2" customWidth="1"/>
    <col min="3" max="3" width="8.140625" style="4" customWidth="1"/>
    <col min="4" max="4" width="8.42578125" hidden="1" customWidth="1"/>
    <col min="5" max="5" width="2.28515625" customWidth="1"/>
    <col min="6" max="8" width="13.42578125" bestFit="1" customWidth="1"/>
    <col min="9" max="9" width="12" bestFit="1" customWidth="1"/>
    <col min="10" max="15" width="13.42578125" bestFit="1" customWidth="1"/>
    <col min="16" max="16" width="2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25.5">
      <c r="A1" s="651" t="s">
        <v>968</v>
      </c>
      <c r="B1" s="164"/>
      <c r="C1" s="409"/>
      <c r="D1" s="71"/>
      <c r="E1" s="71"/>
      <c r="F1" s="71"/>
      <c r="G1" s="71"/>
      <c r="H1" s="71"/>
      <c r="J1" s="71"/>
      <c r="K1" s="71"/>
      <c r="L1" s="71"/>
      <c r="M1" s="151" t="str">
        <f ca="1">Контроль!$Q$1</f>
        <v>Ошибок нет</v>
      </c>
      <c r="N1" s="71"/>
      <c r="O1" s="71"/>
      <c r="P1" s="71"/>
      <c r="Q1" s="155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>
      <c r="A2" s="71" t="str">
        <f>Паспорт_ФМ_резидент!$B$7</f>
        <v>Разработка, производство, модернизация и реализация …</v>
      </c>
      <c r="B2" s="164"/>
      <c r="C2" s="409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59"/>
      <c r="Q2" s="156"/>
      <c r="R2" s="159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>
      <c r="A3" s="127" t="s">
        <v>2</v>
      </c>
      <c r="B3" s="127" t="s">
        <v>3</v>
      </c>
      <c r="C3" s="127" t="s">
        <v>12</v>
      </c>
      <c r="D3" s="127"/>
      <c r="E3" s="152"/>
      <c r="F3" s="766"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671"/>
      <c r="Q3" s="157"/>
      <c r="R3" s="160">
        <v>2035</v>
      </c>
      <c r="S3" s="160">
        <f>R3+1</f>
        <v>2036</v>
      </c>
      <c r="T3" s="160">
        <f>S3+1</f>
        <v>2037</v>
      </c>
      <c r="U3" s="160">
        <f t="shared" si="0"/>
        <v>2038</v>
      </c>
      <c r="V3" s="160">
        <f t="shared" si="0"/>
        <v>2039</v>
      </c>
      <c r="W3" s="160">
        <f t="shared" si="0"/>
        <v>2040</v>
      </c>
      <c r="X3" s="160">
        <f t="shared" si="0"/>
        <v>2041</v>
      </c>
      <c r="Y3" s="160">
        <f t="shared" si="0"/>
        <v>2042</v>
      </c>
      <c r="Z3" s="160">
        <f t="shared" si="0"/>
        <v>2043</v>
      </c>
      <c r="AA3" s="160">
        <f t="shared" si="0"/>
        <v>2044</v>
      </c>
      <c r="AB3" s="152"/>
      <c r="AC3" s="152"/>
      <c r="AD3" s="152"/>
    </row>
    <row r="4" spans="1:30" ht="8.1" customHeight="1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6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>
      <c r="A5" s="402" t="s">
        <v>62</v>
      </c>
      <c r="B5" s="405" t="s">
        <v>30</v>
      </c>
      <c r="C5" s="238" t="s">
        <v>19</v>
      </c>
      <c r="D5" s="146"/>
      <c r="E5" s="71"/>
      <c r="F5" s="268">
        <f>SUM(F6:F11)</f>
        <v>0</v>
      </c>
      <c r="G5" s="268">
        <f>SUM(G6:G11)</f>
        <v>0</v>
      </c>
      <c r="H5" s="268">
        <f t="shared" ref="H5:O5" si="2">SUM(H6:H11)</f>
        <v>0</v>
      </c>
      <c r="I5" s="268">
        <f t="shared" si="2"/>
        <v>0</v>
      </c>
      <c r="J5" s="268">
        <f t="shared" si="2"/>
        <v>0</v>
      </c>
      <c r="K5" s="268">
        <f t="shared" si="2"/>
        <v>0</v>
      </c>
      <c r="L5" s="268">
        <f t="shared" si="2"/>
        <v>0</v>
      </c>
      <c r="M5" s="268">
        <f t="shared" si="2"/>
        <v>0</v>
      </c>
      <c r="N5" s="268">
        <f t="shared" si="2"/>
        <v>0</v>
      </c>
      <c r="O5" s="268">
        <f t="shared" si="2"/>
        <v>0</v>
      </c>
      <c r="P5" s="679"/>
      <c r="Q5" s="156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71"/>
      <c r="AC5" s="71"/>
      <c r="AD5" s="71"/>
    </row>
    <row r="6" spans="1:30" outlineLevel="1">
      <c r="A6" s="146"/>
      <c r="B6" s="406" t="s">
        <v>31</v>
      </c>
      <c r="C6" s="238" t="s">
        <v>19</v>
      </c>
      <c r="D6" s="146"/>
      <c r="E6" s="71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161"/>
      <c r="Q6" s="156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ht="30" outlineLevel="1">
      <c r="A7" s="221" t="str">
        <f t="array" aca="1" ref="A7" ca="1">HYPERLINK(CELL("адрес",Инвестиции!A18),"источник")</f>
        <v>источник</v>
      </c>
      <c r="B7" s="406" t="s">
        <v>339</v>
      </c>
      <c r="C7" s="238" t="s">
        <v>19</v>
      </c>
      <c r="D7" s="146"/>
      <c r="E7" s="71"/>
      <c r="F7" s="399">
        <f>Инвестиции!F11</f>
        <v>0</v>
      </c>
      <c r="G7" s="399">
        <f>Инвестиции!G11</f>
        <v>0</v>
      </c>
      <c r="H7" s="399">
        <f>Инвестиции!H11</f>
        <v>0</v>
      </c>
      <c r="I7" s="399">
        <f>Инвестиции!I11</f>
        <v>0</v>
      </c>
      <c r="J7" s="399">
        <f>Инвестиции!J11</f>
        <v>0</v>
      </c>
      <c r="K7" s="399">
        <f>Инвестиции!K11</f>
        <v>0</v>
      </c>
      <c r="L7" s="399">
        <f>Инвестиции!L11</f>
        <v>0</v>
      </c>
      <c r="M7" s="399">
        <f>Инвестиции!M11</f>
        <v>0</v>
      </c>
      <c r="N7" s="399">
        <f>Инвестиции!N11</f>
        <v>0</v>
      </c>
      <c r="O7" s="399">
        <f>Инвестиции!O11</f>
        <v>0</v>
      </c>
      <c r="P7" s="161"/>
      <c r="Q7" s="156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outlineLevel="1">
      <c r="A8" s="146"/>
      <c r="B8" s="406" t="s">
        <v>33</v>
      </c>
      <c r="C8" s="238" t="s">
        <v>19</v>
      </c>
      <c r="D8" s="146"/>
      <c r="E8" s="71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161"/>
      <c r="Q8" s="156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outlineLevel="1">
      <c r="A9" s="146"/>
      <c r="B9" s="406" t="s">
        <v>34</v>
      </c>
      <c r="C9" s="238" t="s">
        <v>19</v>
      </c>
      <c r="D9" s="146"/>
      <c r="E9" s="71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161"/>
      <c r="Q9" s="156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outlineLevel="1">
      <c r="A10" s="146"/>
      <c r="B10" s="406" t="s">
        <v>35</v>
      </c>
      <c r="C10" s="238" t="s">
        <v>19</v>
      </c>
      <c r="D10" s="146"/>
      <c r="E10" s="71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161"/>
      <c r="Q10" s="156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outlineLevel="1">
      <c r="A11" s="146"/>
      <c r="B11" s="406" t="s">
        <v>36</v>
      </c>
      <c r="C11" s="238" t="s">
        <v>19</v>
      </c>
      <c r="D11" s="146"/>
      <c r="E11" s="71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161"/>
      <c r="Q11" s="156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>
      <c r="A12" s="402" t="s">
        <v>63</v>
      </c>
      <c r="B12" s="405" t="s">
        <v>37</v>
      </c>
      <c r="C12" s="238" t="s">
        <v>19</v>
      </c>
      <c r="D12" s="146"/>
      <c r="E12" s="71"/>
      <c r="F12" s="268">
        <f ca="1">SUM(F13:F20)</f>
        <v>12472.356</v>
      </c>
      <c r="G12" s="268">
        <f t="shared" ref="G12:O12" ca="1" si="3">SUM(G13:G20)</f>
        <v>18365.603936000014</v>
      </c>
      <c r="H12" s="268">
        <f t="shared" ca="1" si="3"/>
        <v>28966.899356416077</v>
      </c>
      <c r="I12" s="268">
        <f t="shared" ca="1" si="3"/>
        <v>45701.43314437542</v>
      </c>
      <c r="J12" s="268">
        <f t="shared" ca="1" si="3"/>
        <v>65697.564788620453</v>
      </c>
      <c r="K12" s="268">
        <f t="shared" ca="1" si="3"/>
        <v>95710.116005493619</v>
      </c>
      <c r="L12" s="268">
        <f t="shared" ca="1" si="3"/>
        <v>115695.8717390841</v>
      </c>
      <c r="M12" s="268">
        <f t="shared" ca="1" si="3"/>
        <v>135607.43150827097</v>
      </c>
      <c r="N12" s="268">
        <f t="shared" ca="1" si="3"/>
        <v>155392.90440762817</v>
      </c>
      <c r="O12" s="268">
        <f t="shared" ca="1" si="3"/>
        <v>174995.58420376916</v>
      </c>
      <c r="P12" s="679"/>
      <c r="Q12" s="156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outlineLevel="1">
      <c r="A13" s="146"/>
      <c r="B13" s="406" t="s">
        <v>38</v>
      </c>
      <c r="C13" s="238" t="s">
        <v>19</v>
      </c>
      <c r="D13" s="146"/>
      <c r="E13" s="71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161"/>
      <c r="Q13" s="156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outlineLevel="1">
      <c r="A14" s="146"/>
      <c r="B14" s="406" t="s">
        <v>39</v>
      </c>
      <c r="C14" s="238" t="s">
        <v>19</v>
      </c>
      <c r="D14" s="146"/>
      <c r="E14" s="71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161"/>
      <c r="Q14" s="156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outlineLevel="1">
      <c r="A15" s="146"/>
      <c r="B15" s="406" t="s">
        <v>225</v>
      </c>
      <c r="C15" s="238" t="s">
        <v>19</v>
      </c>
      <c r="D15" s="146"/>
      <c r="E15" s="71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161"/>
      <c r="Q15" s="156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outlineLevel="1">
      <c r="A16" s="146"/>
      <c r="B16" s="406" t="s">
        <v>40</v>
      </c>
      <c r="C16" s="238" t="s">
        <v>19</v>
      </c>
      <c r="D16" s="146"/>
      <c r="E16" s="71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161"/>
      <c r="Q16" s="156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outlineLevel="1">
      <c r="A17" s="146"/>
      <c r="B17" s="406" t="s">
        <v>41</v>
      </c>
      <c r="C17" s="238" t="s">
        <v>19</v>
      </c>
      <c r="D17" s="146"/>
      <c r="E17" s="71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161"/>
      <c r="Q17" s="156"/>
    </row>
    <row r="18" spans="1:17" ht="30" outlineLevel="1">
      <c r="A18" s="146"/>
      <c r="B18" s="406" t="s">
        <v>42</v>
      </c>
      <c r="C18" s="238" t="s">
        <v>19</v>
      </c>
      <c r="D18" s="146"/>
      <c r="E18" s="71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161"/>
      <c r="Q18" s="156"/>
    </row>
    <row r="19" spans="1:17" outlineLevel="1">
      <c r="A19" s="221" t="str">
        <f t="array" aca="1" ref="A19" ca="1">HYPERLINK(CELL("адрес",БДДС!A59),"источник")</f>
        <v>источник</v>
      </c>
      <c r="B19" s="406" t="s">
        <v>43</v>
      </c>
      <c r="C19" s="238" t="s">
        <v>19</v>
      </c>
      <c r="D19" s="146"/>
      <c r="E19" s="71"/>
      <c r="F19" s="399">
        <f ca="1">БДДС!F59</f>
        <v>12472.356</v>
      </c>
      <c r="G19" s="399">
        <f ca="1">БДДС!G59</f>
        <v>18365.603936000014</v>
      </c>
      <c r="H19" s="399">
        <f ca="1">БДДС!H59</f>
        <v>28966.899356416077</v>
      </c>
      <c r="I19" s="399">
        <f ca="1">БДДС!I59</f>
        <v>45701.43314437542</v>
      </c>
      <c r="J19" s="399">
        <f ca="1">БДДС!J59</f>
        <v>65697.564788620453</v>
      </c>
      <c r="K19" s="399">
        <f ca="1">БДДС!K59</f>
        <v>95710.116005493619</v>
      </c>
      <c r="L19" s="399">
        <f ca="1">БДДС!L59</f>
        <v>115695.8717390841</v>
      </c>
      <c r="M19" s="399">
        <f ca="1">БДДС!M59</f>
        <v>135607.43150827097</v>
      </c>
      <c r="N19" s="399">
        <f ca="1">БДДС!N59</f>
        <v>155392.90440762817</v>
      </c>
      <c r="O19" s="399">
        <f ca="1">БДДС!O59</f>
        <v>174995.58420376916</v>
      </c>
      <c r="P19" s="161"/>
      <c r="Q19" s="156"/>
    </row>
    <row r="20" spans="1:17" outlineLevel="1">
      <c r="A20" s="146"/>
      <c r="B20" s="406" t="s">
        <v>44</v>
      </c>
      <c r="C20" s="238" t="s">
        <v>19</v>
      </c>
      <c r="D20" s="146"/>
      <c r="E20" s="71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161"/>
      <c r="Q20" s="156"/>
    </row>
    <row r="21" spans="1:17" ht="15.75" thickBot="1">
      <c r="A21" s="403"/>
      <c r="B21" s="403" t="s">
        <v>45</v>
      </c>
      <c r="C21" s="238" t="s">
        <v>19</v>
      </c>
      <c r="D21" s="146"/>
      <c r="E21" s="71"/>
      <c r="F21" s="400">
        <f ca="1">SUM(F12,F5)</f>
        <v>12472.356</v>
      </c>
      <c r="G21" s="400">
        <f ca="1">SUM(G12,G5)</f>
        <v>18365.603936000014</v>
      </c>
      <c r="H21" s="400">
        <f t="shared" ref="H21:O21" ca="1" si="4">SUM(H12,H5)</f>
        <v>28966.899356416077</v>
      </c>
      <c r="I21" s="400">
        <f t="shared" ca="1" si="4"/>
        <v>45701.43314437542</v>
      </c>
      <c r="J21" s="400">
        <f t="shared" ca="1" si="4"/>
        <v>65697.564788620453</v>
      </c>
      <c r="K21" s="400">
        <f t="shared" ca="1" si="4"/>
        <v>95710.116005493619</v>
      </c>
      <c r="L21" s="400">
        <f t="shared" ca="1" si="4"/>
        <v>115695.8717390841</v>
      </c>
      <c r="M21" s="400">
        <f t="shared" ca="1" si="4"/>
        <v>135607.43150827097</v>
      </c>
      <c r="N21" s="400">
        <f t="shared" ca="1" si="4"/>
        <v>155392.90440762817</v>
      </c>
      <c r="O21" s="400">
        <f t="shared" ca="1" si="4"/>
        <v>174995.58420376916</v>
      </c>
      <c r="P21" s="679"/>
      <c r="Q21" s="156"/>
    </row>
    <row r="22" spans="1:17">
      <c r="A22" s="146"/>
      <c r="B22" s="407"/>
      <c r="C22" s="410"/>
      <c r="D22" s="146"/>
      <c r="E22" s="7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161"/>
      <c r="Q22" s="156"/>
    </row>
    <row r="23" spans="1:17">
      <c r="A23" s="402" t="s">
        <v>64</v>
      </c>
      <c r="B23" s="405" t="s">
        <v>46</v>
      </c>
      <c r="C23" s="238" t="s">
        <v>19</v>
      </c>
      <c r="D23" s="146"/>
      <c r="E23" s="71"/>
      <c r="F23" s="268">
        <f ca="1">SUM(F24:F25)</f>
        <v>12472.355999999996</v>
      </c>
      <c r="G23" s="268">
        <f ca="1">SUM(G24:G25)</f>
        <v>18365.603936</v>
      </c>
      <c r="H23" s="268">
        <f t="shared" ref="H23:O23" ca="1" si="5">SUM(H24:H25)</f>
        <v>28966.899356416008</v>
      </c>
      <c r="I23" s="268">
        <f t="shared" ca="1" si="5"/>
        <v>45701.433144375347</v>
      </c>
      <c r="J23" s="268">
        <f t="shared" ca="1" si="5"/>
        <v>65697.56478862041</v>
      </c>
      <c r="K23" s="268">
        <f t="shared" ca="1" si="5"/>
        <v>95710.116005493575</v>
      </c>
      <c r="L23" s="268">
        <f t="shared" ca="1" si="5"/>
        <v>115695.87173908405</v>
      </c>
      <c r="M23" s="268">
        <f t="shared" ca="1" si="5"/>
        <v>135607.43150827088</v>
      </c>
      <c r="N23" s="268">
        <f t="shared" ca="1" si="5"/>
        <v>155392.90440762808</v>
      </c>
      <c r="O23" s="268">
        <f t="shared" ca="1" si="5"/>
        <v>174995.58420376907</v>
      </c>
      <c r="P23" s="679"/>
      <c r="Q23" s="156"/>
    </row>
    <row r="24" spans="1:17" outlineLevel="1">
      <c r="A24" s="221" t="str">
        <f t="array" aca="1" ref="A24" ca="1">HYPERLINK(CELL("адрес",Финансы!A12),"источник")</f>
        <v>источник</v>
      </c>
      <c r="B24" s="406" t="s">
        <v>226</v>
      </c>
      <c r="C24" s="238" t="s">
        <v>19</v>
      </c>
      <c r="D24" s="146"/>
      <c r="E24" s="71"/>
      <c r="F24" s="399">
        <f>Финансы!F12</f>
        <v>10000</v>
      </c>
      <c r="G24" s="399">
        <f>Финансы!G12</f>
        <v>10000</v>
      </c>
      <c r="H24" s="399">
        <f>Финансы!H12</f>
        <v>10000</v>
      </c>
      <c r="I24" s="399">
        <f>Финансы!I12</f>
        <v>10000</v>
      </c>
      <c r="J24" s="399">
        <f>Финансы!J12</f>
        <v>10000</v>
      </c>
      <c r="K24" s="399">
        <f>Финансы!K12</f>
        <v>20000</v>
      </c>
      <c r="L24" s="399">
        <f>Финансы!L12</f>
        <v>20000</v>
      </c>
      <c r="M24" s="399">
        <f>Финансы!M12</f>
        <v>20000</v>
      </c>
      <c r="N24" s="399">
        <f>Финансы!N12</f>
        <v>20000</v>
      </c>
      <c r="O24" s="399">
        <f>Финансы!O12</f>
        <v>20000</v>
      </c>
      <c r="P24" s="161"/>
      <c r="Q24" s="156"/>
    </row>
    <row r="25" spans="1:17" outlineLevel="1">
      <c r="A25" s="221" t="str">
        <f t="array" aca="1" ref="A25" ca="1">HYPERLINK(CELL("адрес",БДР!A36),"источник")</f>
        <v>источник</v>
      </c>
      <c r="B25" s="406" t="s">
        <v>47</v>
      </c>
      <c r="C25" s="238" t="s">
        <v>19</v>
      </c>
      <c r="D25" s="146"/>
      <c r="E25" s="71"/>
      <c r="F25" s="399">
        <f ca="1">БДР!F36</f>
        <v>2472.3559999999961</v>
      </c>
      <c r="G25" s="399">
        <f ca="1">БДР!G36</f>
        <v>8365.6039359999995</v>
      </c>
      <c r="H25" s="399">
        <f ca="1">БДР!H36</f>
        <v>18966.899356416008</v>
      </c>
      <c r="I25" s="399">
        <f ca="1">БДР!I36</f>
        <v>35701.433144375347</v>
      </c>
      <c r="J25" s="399">
        <f ca="1">БДР!J36</f>
        <v>55697.56478862041</v>
      </c>
      <c r="K25" s="399">
        <f ca="1">БДР!K36</f>
        <v>75710.116005493575</v>
      </c>
      <c r="L25" s="399">
        <f ca="1">БДР!L36</f>
        <v>95695.871739084047</v>
      </c>
      <c r="M25" s="399">
        <f ca="1">БДР!M36</f>
        <v>115607.43150827088</v>
      </c>
      <c r="N25" s="399">
        <f ca="1">БДР!N36</f>
        <v>135392.90440762808</v>
      </c>
      <c r="O25" s="399">
        <f ca="1">БДР!O36</f>
        <v>154995.58420376907</v>
      </c>
      <c r="P25" s="161"/>
      <c r="Q25" s="156"/>
    </row>
    <row r="26" spans="1:17">
      <c r="A26" s="402" t="s">
        <v>65</v>
      </c>
      <c r="B26" s="405" t="s">
        <v>48</v>
      </c>
      <c r="C26" s="238" t="s">
        <v>19</v>
      </c>
      <c r="D26" s="146"/>
      <c r="E26" s="71"/>
      <c r="F26" s="268">
        <f ca="1">SUM(F27:F30)</f>
        <v>0</v>
      </c>
      <c r="G26" s="268">
        <f ca="1">SUM(G27:G30)</f>
        <v>0</v>
      </c>
      <c r="H26" s="268">
        <f t="shared" ref="H26:O26" ca="1" si="6">SUM(H27:H30)</f>
        <v>0</v>
      </c>
      <c r="I26" s="268">
        <f t="shared" ca="1" si="6"/>
        <v>0</v>
      </c>
      <c r="J26" s="268">
        <f t="shared" ca="1" si="6"/>
        <v>0</v>
      </c>
      <c r="K26" s="268">
        <f t="shared" ca="1" si="6"/>
        <v>0</v>
      </c>
      <c r="L26" s="268">
        <f t="shared" ca="1" si="6"/>
        <v>0</v>
      </c>
      <c r="M26" s="268">
        <f t="shared" ca="1" si="6"/>
        <v>0</v>
      </c>
      <c r="N26" s="268">
        <f t="shared" ca="1" si="6"/>
        <v>0</v>
      </c>
      <c r="O26" s="268">
        <f t="shared" ca="1" si="6"/>
        <v>0</v>
      </c>
      <c r="P26" s="679"/>
      <c r="Q26" s="156"/>
    </row>
    <row r="27" spans="1:17" outlineLevel="1">
      <c r="A27" s="221" t="str">
        <f t="array" aca="1" ref="A27" ca="1">HYPERLINK(CELL("адрес",Финансы!A24),"источник")</f>
        <v>источник</v>
      </c>
      <c r="B27" s="406" t="s">
        <v>49</v>
      </c>
      <c r="C27" s="238" t="s">
        <v>19</v>
      </c>
      <c r="D27" s="146"/>
      <c r="E27" s="71"/>
      <c r="F27" s="399">
        <f ca="1">Финансы!F24</f>
        <v>0</v>
      </c>
      <c r="G27" s="399">
        <f ca="1">Финансы!G24</f>
        <v>0</v>
      </c>
      <c r="H27" s="399">
        <f ca="1">Финансы!H24</f>
        <v>0</v>
      </c>
      <c r="I27" s="399">
        <f ca="1">Финансы!I24</f>
        <v>0</v>
      </c>
      <c r="J27" s="399">
        <f ca="1">Финансы!J24</f>
        <v>0</v>
      </c>
      <c r="K27" s="399">
        <f ca="1">Финансы!K24</f>
        <v>0</v>
      </c>
      <c r="L27" s="399">
        <f ca="1">Финансы!L24</f>
        <v>0</v>
      </c>
      <c r="M27" s="399">
        <f ca="1">Финансы!M24</f>
        <v>0</v>
      </c>
      <c r="N27" s="399">
        <f ca="1">Финансы!N24</f>
        <v>0</v>
      </c>
      <c r="O27" s="399">
        <f ca="1">Финансы!O24</f>
        <v>0</v>
      </c>
      <c r="P27" s="161"/>
      <c r="Q27" s="156"/>
    </row>
    <row r="28" spans="1:17" outlineLevel="1">
      <c r="A28" s="221"/>
      <c r="B28" s="406" t="s">
        <v>54</v>
      </c>
      <c r="C28" s="238" t="s">
        <v>19</v>
      </c>
      <c r="D28" s="146"/>
      <c r="E28" s="71"/>
      <c r="F28" s="399"/>
      <c r="G28" s="399"/>
      <c r="H28" s="399"/>
      <c r="I28" s="399"/>
      <c r="J28" s="399"/>
      <c r="K28" s="399"/>
      <c r="L28" s="399"/>
      <c r="M28" s="399"/>
      <c r="N28" s="399"/>
      <c r="O28" s="399"/>
      <c r="P28" s="161"/>
      <c r="Q28" s="156"/>
    </row>
    <row r="29" spans="1:17" ht="30" outlineLevel="1">
      <c r="A29" s="146"/>
      <c r="B29" s="406" t="s">
        <v>50</v>
      </c>
      <c r="C29" s="238" t="s">
        <v>19</v>
      </c>
      <c r="D29" s="146"/>
      <c r="E29" s="71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161"/>
      <c r="Q29" s="156"/>
    </row>
    <row r="30" spans="1:17" outlineLevel="1">
      <c r="A30" s="146"/>
      <c r="B30" s="406" t="s">
        <v>51</v>
      </c>
      <c r="C30" s="238" t="s">
        <v>19</v>
      </c>
      <c r="D30" s="146"/>
      <c r="E30" s="71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161"/>
      <c r="Q30" s="156"/>
    </row>
    <row r="31" spans="1:17">
      <c r="A31" s="402" t="s">
        <v>66</v>
      </c>
      <c r="B31" s="405" t="s">
        <v>52</v>
      </c>
      <c r="C31" s="238" t="s">
        <v>19</v>
      </c>
      <c r="D31" s="146"/>
      <c r="E31" s="71"/>
      <c r="F31" s="268">
        <f>SUM(F32:F39)</f>
        <v>0</v>
      </c>
      <c r="G31" s="268">
        <f>SUM(G32:G39)</f>
        <v>0</v>
      </c>
      <c r="H31" s="268">
        <f t="shared" ref="H31:O31" si="7">SUM(H32:H39)</f>
        <v>0</v>
      </c>
      <c r="I31" s="268">
        <f t="shared" si="7"/>
        <v>0</v>
      </c>
      <c r="J31" s="268">
        <f t="shared" si="7"/>
        <v>0</v>
      </c>
      <c r="K31" s="268">
        <f t="shared" si="7"/>
        <v>0</v>
      </c>
      <c r="L31" s="268">
        <f t="shared" si="7"/>
        <v>0</v>
      </c>
      <c r="M31" s="268">
        <f t="shared" si="7"/>
        <v>0</v>
      </c>
      <c r="N31" s="268">
        <f t="shared" si="7"/>
        <v>0</v>
      </c>
      <c r="O31" s="268">
        <f t="shared" si="7"/>
        <v>0</v>
      </c>
      <c r="P31" s="679"/>
      <c r="Q31" s="156"/>
    </row>
    <row r="32" spans="1:17" outlineLevel="1">
      <c r="A32" s="146"/>
      <c r="B32" s="406" t="s">
        <v>53</v>
      </c>
      <c r="C32" s="238" t="s">
        <v>19</v>
      </c>
      <c r="D32" s="146"/>
      <c r="E32" s="71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161"/>
      <c r="Q32" s="156"/>
    </row>
    <row r="33" spans="1:27" outlineLevel="1">
      <c r="A33" s="146"/>
      <c r="B33" s="406" t="s">
        <v>54</v>
      </c>
      <c r="C33" s="238" t="s">
        <v>19</v>
      </c>
      <c r="D33" s="146"/>
      <c r="E33" s="71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161"/>
      <c r="Q33" s="156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27" ht="30" outlineLevel="1">
      <c r="A34" s="146"/>
      <c r="B34" s="406" t="s">
        <v>55</v>
      </c>
      <c r="C34" s="238" t="s">
        <v>19</v>
      </c>
      <c r="D34" s="146"/>
      <c r="E34" s="71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161"/>
      <c r="Q34" s="156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27" ht="30" outlineLevel="1">
      <c r="A35" s="146"/>
      <c r="B35" s="406" t="s">
        <v>56</v>
      </c>
      <c r="C35" s="238" t="s">
        <v>19</v>
      </c>
      <c r="D35" s="146"/>
      <c r="E35" s="71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161"/>
      <c r="Q35" s="156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ht="30" outlineLevel="1">
      <c r="A36" s="146"/>
      <c r="B36" s="406" t="s">
        <v>57</v>
      </c>
      <c r="C36" s="238" t="s">
        <v>19</v>
      </c>
      <c r="D36" s="146"/>
      <c r="E36" s="71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161"/>
      <c r="Q36" s="156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outlineLevel="1">
      <c r="A37" s="146"/>
      <c r="B37" s="406" t="s">
        <v>58</v>
      </c>
      <c r="C37" s="238" t="s">
        <v>19</v>
      </c>
      <c r="D37" s="146"/>
      <c r="E37" s="71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161"/>
      <c r="Q37" s="156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27" outlineLevel="1">
      <c r="A38" s="146"/>
      <c r="B38" s="406" t="s">
        <v>86</v>
      </c>
      <c r="C38" s="238" t="s">
        <v>19</v>
      </c>
      <c r="D38" s="146"/>
      <c r="E38" s="71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161"/>
      <c r="Q38" s="156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27" ht="30" outlineLevel="1">
      <c r="A39" s="146"/>
      <c r="B39" s="406" t="s">
        <v>59</v>
      </c>
      <c r="C39" s="238" t="s">
        <v>19</v>
      </c>
      <c r="D39" s="146"/>
      <c r="E39" s="71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161"/>
      <c r="Q39" s="156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27" ht="29.25" thickBot="1">
      <c r="A40" s="403"/>
      <c r="B40" s="403" t="s">
        <v>60</v>
      </c>
      <c r="C40" s="238" t="s">
        <v>19</v>
      </c>
      <c r="D40" s="146"/>
      <c r="E40" s="71"/>
      <c r="F40" s="400">
        <f ca="1">SUM(F23,F26,F31)</f>
        <v>12472.355999999996</v>
      </c>
      <c r="G40" s="400">
        <f ca="1">SUM(G23,G26,G31)</f>
        <v>18365.603936</v>
      </c>
      <c r="H40" s="400">
        <f t="shared" ref="H40:O40" ca="1" si="8">SUM(H23,H26,H31)</f>
        <v>28966.899356416008</v>
      </c>
      <c r="I40" s="400">
        <f t="shared" ca="1" si="8"/>
        <v>45701.433144375347</v>
      </c>
      <c r="J40" s="400">
        <f t="shared" ca="1" si="8"/>
        <v>65697.56478862041</v>
      </c>
      <c r="K40" s="400">
        <f t="shared" ca="1" si="8"/>
        <v>95710.116005493575</v>
      </c>
      <c r="L40" s="400">
        <f t="shared" ca="1" si="8"/>
        <v>115695.87173908405</v>
      </c>
      <c r="M40" s="400">
        <f t="shared" ca="1" si="8"/>
        <v>135607.43150827088</v>
      </c>
      <c r="N40" s="400">
        <f t="shared" ca="1" si="8"/>
        <v>155392.90440762808</v>
      </c>
      <c r="O40" s="400">
        <f t="shared" ca="1" si="8"/>
        <v>174995.58420376907</v>
      </c>
      <c r="P40" s="679"/>
      <c r="Q40" s="156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1:27">
      <c r="A41" s="146"/>
      <c r="B41" s="175"/>
      <c r="C41" s="411"/>
      <c r="D41" s="146"/>
      <c r="E41" s="71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 s="1" customFormat="1">
      <c r="A42" s="404"/>
      <c r="B42" s="408" t="s">
        <v>61</v>
      </c>
      <c r="C42" s="265"/>
      <c r="D42" s="404"/>
      <c r="E42" s="398"/>
      <c r="F42" s="828">
        <f ca="1">F21-F40</f>
        <v>0</v>
      </c>
      <c r="G42" s="828">
        <f t="shared" ref="G42:O42" ca="1" si="9">G21-G40</f>
        <v>0</v>
      </c>
      <c r="H42" s="828">
        <f t="shared" ca="1" si="9"/>
        <v>6.9121597334742546E-11</v>
      </c>
      <c r="I42" s="828">
        <f t="shared" ca="1" si="9"/>
        <v>7.2759576141834259E-11</v>
      </c>
      <c r="J42" s="828">
        <f t="shared" ca="1" si="9"/>
        <v>0</v>
      </c>
      <c r="K42" s="828">
        <f t="shared" ca="1" si="9"/>
        <v>0</v>
      </c>
      <c r="L42" s="828">
        <f t="shared" ca="1" si="9"/>
        <v>0</v>
      </c>
      <c r="M42" s="828">
        <f t="shared" ca="1" si="9"/>
        <v>0</v>
      </c>
      <c r="N42" s="828">
        <f t="shared" ca="1" si="9"/>
        <v>0</v>
      </c>
      <c r="O42" s="828">
        <f t="shared" ca="1" si="9"/>
        <v>0</v>
      </c>
      <c r="P42" s="680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>
      <c r="A43" s="146"/>
      <c r="B43" s="173"/>
      <c r="C43" s="265"/>
      <c r="D43" s="146"/>
      <c r="E43" s="71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>
      <c r="A44" s="146"/>
      <c r="B44" s="169"/>
      <c r="C44" s="265"/>
      <c r="D44" s="146"/>
      <c r="E44" s="71"/>
      <c r="F44" s="829"/>
      <c r="G44" s="830"/>
      <c r="H44" s="830"/>
      <c r="I44" s="830"/>
      <c r="J44" s="830"/>
      <c r="K44" s="830"/>
      <c r="L44" s="830"/>
      <c r="M44" s="830"/>
      <c r="N44" s="830"/>
      <c r="O44" s="830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>
      <c r="A45" s="146"/>
      <c r="B45" s="173"/>
      <c r="C45" s="265"/>
      <c r="D45" s="146"/>
      <c r="E45" s="71"/>
      <c r="F45" s="829"/>
      <c r="G45" s="146"/>
      <c r="H45" s="146"/>
      <c r="I45" s="146"/>
      <c r="J45" s="146"/>
      <c r="K45" s="146"/>
      <c r="L45" s="146"/>
      <c r="M45" s="146"/>
      <c r="N45" s="146"/>
      <c r="O45" s="146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>
      <c r="A46" s="146"/>
      <c r="B46" s="169" t="str">
        <f t="array" aca="1" ref="B46" ca="1">HYPERLINK(CELL("адрес",БДР!$A$1),"Перейти на лист БДР")</f>
        <v>Перейти на лист БДР</v>
      </c>
      <c r="C46" s="265"/>
      <c r="D46" s="146"/>
      <c r="E46" s="71"/>
      <c r="F46" s="146"/>
      <c r="G46" s="830"/>
      <c r="H46" s="830"/>
      <c r="I46" s="830"/>
      <c r="J46" s="830"/>
      <c r="K46" s="830"/>
      <c r="L46" s="830"/>
      <c r="M46" s="830"/>
      <c r="N46" s="830"/>
      <c r="O46" s="830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27">
      <c r="A47" s="146"/>
      <c r="B47" s="169" t="str">
        <f t="array" aca="1" ref="B47" ca="1">HYPERLINK(CELL("адрес",БДДС!$A$1),"Перейти на лист БДДС")</f>
        <v>Перейти на лист БДДС</v>
      </c>
      <c r="C47" s="265"/>
      <c r="D47" s="146"/>
      <c r="E47" s="71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>
      <c r="A48" s="146"/>
      <c r="B48" s="169" t="str">
        <f t="array" aca="1" ref="B48" ca="1">HYPERLINK(CELL("адрес",Дашборд_ИтогТабл!$A$1),"Перейти на лист Дашборд_1")</f>
        <v>Перейти на лист Дашборд_1</v>
      </c>
      <c r="C48" s="265"/>
      <c r="D48" s="146"/>
      <c r="E48" s="71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27">
      <c r="A49" s="146"/>
      <c r="B49" s="169" t="str">
        <f t="array" aca="1" ref="B49" ca="1">HYPERLINK(CELL("адрес",Дашборд_Основной!$A$1),"Перейти на лист Дашборд_Общий")</f>
        <v>Перейти на лист Дашборд_Общий</v>
      </c>
      <c r="C49" s="265"/>
      <c r="D49" s="146"/>
      <c r="E49" s="71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>
      <c r="A50" s="146"/>
      <c r="B50" s="169" t="str">
        <f t="array" aca="1" ref="B50" ca="1">HYPERLINK(CELL("адрес",Дашборд_налоги!$A$1),"Перейти на лист Дашборд_Налоги")</f>
        <v>Перейти на лист Дашборд_Налоги</v>
      </c>
      <c r="C50" s="265"/>
      <c r="D50" s="146"/>
      <c r="E50" s="71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>
      <c r="A51" s="146"/>
      <c r="B51" s="169"/>
      <c r="C51" s="265"/>
      <c r="D51" s="146"/>
      <c r="E51" s="71"/>
      <c r="F51" s="829"/>
      <c r="G51" s="146"/>
      <c r="H51" s="146"/>
      <c r="I51" s="146"/>
      <c r="J51" s="146"/>
      <c r="K51" s="146"/>
      <c r="L51" s="146"/>
      <c r="M51" s="146"/>
      <c r="N51" s="146"/>
      <c r="O51" s="146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1:27">
      <c r="F52" s="831"/>
    </row>
  </sheetData>
  <hyperlinks>
    <hyperlink ref="M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87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theme="5" tint="0.79998168889431442"/>
    <outlinePr summaryRight="0"/>
    <pageSetUpPr fitToPage="1"/>
  </sheetPr>
  <dimension ref="A1:AD44"/>
  <sheetViews>
    <sheetView zoomScale="115" zoomScaleNormal="115" workbookViewId="0">
      <pane xSplit="4" ySplit="4" topLeftCell="E14" activePane="bottomRight" state="frozen"/>
      <selection activeCell="C1" sqref="C1"/>
      <selection pane="topRight" activeCell="C1" sqref="C1"/>
      <selection pane="bottomLeft" activeCell="C1" sqref="C1"/>
      <selection pane="bottomRight" activeCell="M26" sqref="M26"/>
    </sheetView>
  </sheetViews>
  <sheetFormatPr defaultRowHeight="15" outlineLevelCol="1"/>
  <cols>
    <col min="1" max="1" width="11.5703125" customWidth="1"/>
    <col min="2" max="2" width="30.42578125" style="2" customWidth="1"/>
    <col min="3" max="3" width="11" style="5" customWidth="1"/>
    <col min="4" max="4" width="11" customWidth="1"/>
    <col min="5" max="5" width="2.28515625" customWidth="1"/>
    <col min="16" max="16" width="2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25.5">
      <c r="A1" s="651" t="s">
        <v>593</v>
      </c>
      <c r="B1" s="164"/>
      <c r="C1" s="184"/>
      <c r="D1" s="71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155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>
      <c r="A2" s="71" t="str">
        <f>Паспорт_ФМ_резидент!B7</f>
        <v>Разработка, производство, модернизация и реализация …</v>
      </c>
      <c r="B2" s="164"/>
      <c r="C2" s="184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59"/>
      <c r="Q2" s="156"/>
      <c r="R2" s="159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 ht="28.5">
      <c r="A3" s="78" t="s">
        <v>2</v>
      </c>
      <c r="B3" s="92" t="s">
        <v>3</v>
      </c>
      <c r="C3" s="127" t="s">
        <v>12</v>
      </c>
      <c r="D3" s="194" t="str">
        <f>CONCATENATE("Итого ",F3,"-",O3)</f>
        <v>Итого 2025-2034</v>
      </c>
      <c r="E3" s="152"/>
      <c r="F3" s="766"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671"/>
      <c r="Q3" s="157"/>
      <c r="R3" s="160">
        <v>2035</v>
      </c>
      <c r="S3" s="160">
        <f>R3+1</f>
        <v>2036</v>
      </c>
      <c r="T3" s="160">
        <f>S3+1</f>
        <v>2037</v>
      </c>
      <c r="U3" s="160">
        <f t="shared" si="0"/>
        <v>2038</v>
      </c>
      <c r="V3" s="160">
        <f t="shared" si="0"/>
        <v>2039</v>
      </c>
      <c r="W3" s="160">
        <f t="shared" si="0"/>
        <v>2040</v>
      </c>
      <c r="X3" s="160">
        <f t="shared" si="0"/>
        <v>2041</v>
      </c>
      <c r="Y3" s="160">
        <f t="shared" si="0"/>
        <v>2042</v>
      </c>
      <c r="Z3" s="160">
        <f t="shared" si="0"/>
        <v>2043</v>
      </c>
      <c r="AA3" s="160">
        <f t="shared" si="0"/>
        <v>2044</v>
      </c>
      <c r="AB3" s="152"/>
      <c r="AC3" s="152"/>
      <c r="AD3" s="152"/>
    </row>
    <row r="4" spans="1:30" ht="8.1" customHeight="1">
      <c r="A4" s="128"/>
      <c r="B4" s="25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6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ht="28.5">
      <c r="A5" s="146"/>
      <c r="B5" s="413" t="s">
        <v>725</v>
      </c>
      <c r="C5" s="265" t="s">
        <v>19</v>
      </c>
      <c r="D5" s="223">
        <f ca="1">SUM(D6:D13)</f>
        <v>188736.21798172212</v>
      </c>
      <c r="E5" s="71"/>
      <c r="F5" s="223">
        <f ca="1">SUM(F6:F6:F13)</f>
        <v>13565.244000000001</v>
      </c>
      <c r="G5" s="223">
        <f ca="1">SUM(G6:G6:G13)</f>
        <v>14721.657664</v>
      </c>
      <c r="H5" s="223">
        <f ca="1">SUM(H6:H6:H13)</f>
        <v>16004.460893184001</v>
      </c>
      <c r="I5" s="223">
        <f ca="1">SUM(I6:I6:I13)</f>
        <v>17649.134639202308</v>
      </c>
      <c r="J5" s="223">
        <f ca="1">SUM(J6:J6:J13)</f>
        <v>18816.519533237639</v>
      </c>
      <c r="K5" s="223">
        <f ca="1">SUM(K6:K6:K13)</f>
        <v>19685.828123700543</v>
      </c>
      <c r="L5" s="223">
        <f ca="1">SUM(L6:L6:L13)</f>
        <v>20596.441335093441</v>
      </c>
      <c r="M5" s="223">
        <f ca="1">SUM(M6:M6:M13)</f>
        <v>21550.377159782962</v>
      </c>
      <c r="N5" s="223">
        <f ca="1">SUM(N6:N6:N13)</f>
        <v>22549.754795052071</v>
      </c>
      <c r="O5" s="223">
        <f ca="1">SUM(O6:O6:O13)</f>
        <v>23596.799838469102</v>
      </c>
      <c r="P5" s="348"/>
      <c r="Q5" s="156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71"/>
      <c r="AC5" s="71"/>
      <c r="AD5" s="71"/>
    </row>
    <row r="6" spans="1:30">
      <c r="A6" s="306" t="str">
        <f t="array" aca="1" ref="A6" ca="1">HYPERLINK(CELL("адрес",НДС!B16),"источник")</f>
        <v>источник</v>
      </c>
      <c r="B6" s="164" t="s">
        <v>312</v>
      </c>
      <c r="C6" s="415" t="s">
        <v>19</v>
      </c>
      <c r="D6" s="374">
        <f>SUM(F6:O6)</f>
        <v>77931.453479970573</v>
      </c>
      <c r="E6" s="71"/>
      <c r="F6" s="225">
        <f>НДС!F16</f>
        <v>5500</v>
      </c>
      <c r="G6" s="225">
        <f>НДС!G16</f>
        <v>6032</v>
      </c>
      <c r="H6" s="225">
        <f>НДС!H16</f>
        <v>6597.7600000000011</v>
      </c>
      <c r="I6" s="225">
        <f>НДС!I16</f>
        <v>7424.1024000000025</v>
      </c>
      <c r="J6" s="225">
        <f>НДС!J16</f>
        <v>7896.545280000003</v>
      </c>
      <c r="K6" s="225">
        <f>НДС!K16</f>
        <v>8212.4070912000025</v>
      </c>
      <c r="L6" s="225">
        <f>НДС!L16</f>
        <v>8540.9033748480033</v>
      </c>
      <c r="M6" s="225">
        <f>НДС!M16</f>
        <v>8882.5395098419231</v>
      </c>
      <c r="N6" s="225">
        <f>НДС!N16</f>
        <v>9237.841090235599</v>
      </c>
      <c r="O6" s="225">
        <f>НДС!O16</f>
        <v>9607.3547338450244</v>
      </c>
      <c r="P6" s="349"/>
      <c r="Q6" s="156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>
      <c r="A7" s="306" t="str">
        <f t="array" aca="1" ref="A7" ca="1">HYPERLINK(CELL("адрес",НалПрибыль!A27),"источник")</f>
        <v>источник</v>
      </c>
      <c r="B7" s="173" t="s">
        <v>721</v>
      </c>
      <c r="C7" s="238" t="s">
        <v>19</v>
      </c>
      <c r="D7" s="374">
        <f t="shared" ref="D7:D13" ca="1" si="2">SUM(F7:O7)</f>
        <v>0</v>
      </c>
      <c r="E7" s="71"/>
      <c r="F7" s="225">
        <f ca="1">НалПрибыль!F28</f>
        <v>0</v>
      </c>
      <c r="G7" s="225">
        <f ca="1">НалПрибыль!G28</f>
        <v>0</v>
      </c>
      <c r="H7" s="225">
        <f ca="1">НалПрибыль!H28</f>
        <v>0</v>
      </c>
      <c r="I7" s="225">
        <f ca="1">НалПрибыль!I28</f>
        <v>0</v>
      </c>
      <c r="J7" s="225">
        <f ca="1">НалПрибыль!J28</f>
        <v>0</v>
      </c>
      <c r="K7" s="225">
        <f ca="1">НалПрибыль!K28</f>
        <v>0</v>
      </c>
      <c r="L7" s="225">
        <f ca="1">НалПрибыль!L28</f>
        <v>0</v>
      </c>
      <c r="M7" s="225">
        <f ca="1">НалПрибыль!M28</f>
        <v>0</v>
      </c>
      <c r="N7" s="225">
        <f ca="1">НалПрибыль!N28</f>
        <v>0</v>
      </c>
      <c r="O7" s="225">
        <f ca="1">НалПрибыль!O28</f>
        <v>0</v>
      </c>
      <c r="P7" s="349"/>
      <c r="Q7" s="156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>
      <c r="A8" s="306" t="str">
        <f t="array" aca="1" ref="A8" ca="1">HYPERLINK(CELL("адрес",НалПрибыль!A28),"источник")</f>
        <v>источник</v>
      </c>
      <c r="B8" s="173" t="s">
        <v>722</v>
      </c>
      <c r="C8" s="238" t="s">
        <v>19</v>
      </c>
      <c r="D8" s="374">
        <f t="shared" ca="1" si="2"/>
        <v>0</v>
      </c>
      <c r="E8" s="71"/>
      <c r="F8" s="225">
        <f ca="1">НалПрибыль!F29</f>
        <v>0</v>
      </c>
      <c r="G8" s="225">
        <f ca="1">НалПрибыль!G29</f>
        <v>0</v>
      </c>
      <c r="H8" s="225">
        <f ca="1">НалПрибыль!H29</f>
        <v>0</v>
      </c>
      <c r="I8" s="225">
        <f ca="1">НалПрибыль!I29</f>
        <v>0</v>
      </c>
      <c r="J8" s="225">
        <f ca="1">НалПрибыль!J29</f>
        <v>0</v>
      </c>
      <c r="K8" s="225">
        <f ca="1">НалПрибыль!K29</f>
        <v>0</v>
      </c>
      <c r="L8" s="225">
        <f ca="1">НалПрибыль!L29</f>
        <v>0</v>
      </c>
      <c r="M8" s="225">
        <f ca="1">НалПрибыль!M29</f>
        <v>0</v>
      </c>
      <c r="N8" s="225">
        <f ca="1">НалПрибыль!N29</f>
        <v>0</v>
      </c>
      <c r="O8" s="225">
        <f ca="1">НалПрибыль!O29</f>
        <v>0</v>
      </c>
      <c r="P8" s="349"/>
      <c r="Q8" s="156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>
      <c r="A9" s="306" t="str">
        <f t="array" aca="1" ref="A9" ca="1">HYPERLINK(CELL("адрес",НалИмущество!A19),"источник")</f>
        <v>источник</v>
      </c>
      <c r="B9" s="173" t="s">
        <v>300</v>
      </c>
      <c r="C9" s="238" t="s">
        <v>19</v>
      </c>
      <c r="D9" s="374">
        <f t="shared" si="2"/>
        <v>0</v>
      </c>
      <c r="E9" s="71"/>
      <c r="F9" s="225">
        <f>НалИмущество!F19</f>
        <v>0</v>
      </c>
      <c r="G9" s="225">
        <f>НалИмущество!G19</f>
        <v>0</v>
      </c>
      <c r="H9" s="225">
        <f>НалИмущество!H19</f>
        <v>0</v>
      </c>
      <c r="I9" s="225">
        <f>НалИмущество!I19</f>
        <v>0</v>
      </c>
      <c r="J9" s="225">
        <f>НалИмущество!J19</f>
        <v>0</v>
      </c>
      <c r="K9" s="225">
        <f>НалИмущество!K19</f>
        <v>0</v>
      </c>
      <c r="L9" s="225">
        <f>НалИмущество!L19</f>
        <v>0</v>
      </c>
      <c r="M9" s="225">
        <f>НалИмущество!M19</f>
        <v>0</v>
      </c>
      <c r="N9" s="225">
        <f>НалИмущество!N19</f>
        <v>0</v>
      </c>
      <c r="O9" s="225">
        <f>НалИмущество!O19</f>
        <v>0</v>
      </c>
      <c r="P9" s="349"/>
      <c r="Q9" s="156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>
      <c r="A10" s="306" t="str">
        <f t="array" aca="1" ref="A10" ca="1">HYPERLINK(CELL("адрес",Персонал!A53),"источник")</f>
        <v>источник</v>
      </c>
      <c r="B10" s="206" t="s">
        <v>723</v>
      </c>
      <c r="C10" s="416" t="s">
        <v>19</v>
      </c>
      <c r="D10" s="374">
        <f t="shared" si="2"/>
        <v>54811.559413961695</v>
      </c>
      <c r="E10" s="71"/>
      <c r="F10" s="225">
        <f>Персонал!F53</f>
        <v>4237.2</v>
      </c>
      <c r="G10" s="225">
        <f>Персонал!G53</f>
        <v>4474.4832000000006</v>
      </c>
      <c r="H10" s="225">
        <f>Персонал!H53</f>
        <v>4725.0542592000002</v>
      </c>
      <c r="I10" s="225">
        <f>Персонал!I53</f>
        <v>4989.6572977152</v>
      </c>
      <c r="J10" s="225">
        <f>Персонал!J53</f>
        <v>5269.0781063872528</v>
      </c>
      <c r="K10" s="225">
        <f>Персонал!K53</f>
        <v>5564.1464803449389</v>
      </c>
      <c r="L10" s="225">
        <f>Персонал!L53</f>
        <v>5875.7386832442553</v>
      </c>
      <c r="M10" s="225">
        <f>Персонал!M53</f>
        <v>6204.7800495059337</v>
      </c>
      <c r="N10" s="225">
        <f>Персонал!N53</f>
        <v>6552.2477322782661</v>
      </c>
      <c r="O10" s="225">
        <f>Персонал!O53</f>
        <v>6919.1736052858496</v>
      </c>
      <c r="P10" s="349"/>
      <c r="Q10" s="156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>
      <c r="A11" s="306" t="str">
        <f t="array" aca="1" ref="A11" ca="1">HYPERLINK(CELL("адрес",Персонал!A54),"источник")</f>
        <v>источник</v>
      </c>
      <c r="B11" s="206" t="s">
        <v>724</v>
      </c>
      <c r="C11" s="416" t="s">
        <v>19</v>
      </c>
      <c r="D11" s="374">
        <f t="shared" si="2"/>
        <v>9965.7380752657646</v>
      </c>
      <c r="E11" s="71"/>
      <c r="F11" s="225">
        <f>Персонал!F54</f>
        <v>770.4</v>
      </c>
      <c r="G11" s="225">
        <f>Персонал!G54</f>
        <v>813.54240000000004</v>
      </c>
      <c r="H11" s="225">
        <f>Персонал!H54</f>
        <v>859.10077440000009</v>
      </c>
      <c r="I11" s="225">
        <f>Персонал!I54</f>
        <v>907.21041776640004</v>
      </c>
      <c r="J11" s="225">
        <f>Персонал!J54</f>
        <v>958.01420116131862</v>
      </c>
      <c r="K11" s="225">
        <f>Персонал!K54</f>
        <v>1011.6629964263525</v>
      </c>
      <c r="L11" s="225">
        <f>Персонал!L54</f>
        <v>1068.3161242262283</v>
      </c>
      <c r="M11" s="225">
        <f>Персонал!M54</f>
        <v>1128.141827182897</v>
      </c>
      <c r="N11" s="225">
        <f>Персонал!N54</f>
        <v>1191.3177695051393</v>
      </c>
      <c r="O11" s="225">
        <f>Персонал!O54</f>
        <v>1258.0315645974272</v>
      </c>
      <c r="P11" s="349"/>
      <c r="Q11" s="156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>
      <c r="A12" s="306" t="str">
        <f t="array" aca="1" ref="A12" ca="1">HYPERLINK(CELL("адрес",Персонал!A38),"источник")</f>
        <v>источник</v>
      </c>
      <c r="B12" s="206" t="s">
        <v>528</v>
      </c>
      <c r="C12" s="416" t="s">
        <v>19</v>
      </c>
      <c r="D12" s="242">
        <f t="shared" si="2"/>
        <v>37869.804686009898</v>
      </c>
      <c r="E12" s="71"/>
      <c r="F12" s="225">
        <f>Персонал!F38</f>
        <v>2927.52</v>
      </c>
      <c r="G12" s="225">
        <f>Персонал!G38</f>
        <v>3091.4611199999999</v>
      </c>
      <c r="H12" s="225">
        <f>Персонал!H38</f>
        <v>3264.5829427200006</v>
      </c>
      <c r="I12" s="225">
        <f>Персонал!I38</f>
        <v>3447.3995875123201</v>
      </c>
      <c r="J12" s="225">
        <f>Персонал!J38</f>
        <v>3640.4539644130109</v>
      </c>
      <c r="K12" s="225">
        <f>Персонал!K38</f>
        <v>3844.3193864201394</v>
      </c>
      <c r="L12" s="225">
        <f>Персонал!L38</f>
        <v>4059.6012720596673</v>
      </c>
      <c r="M12" s="225">
        <f>Персонал!M38</f>
        <v>4286.9389432950084</v>
      </c>
      <c r="N12" s="225">
        <f>Персонал!N38</f>
        <v>4527.0075241195291</v>
      </c>
      <c r="O12" s="225">
        <f>Персонал!O38</f>
        <v>4780.5199454702233</v>
      </c>
      <c r="P12" s="349"/>
      <c r="Q12" s="156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>
      <c r="A13" s="306"/>
      <c r="B13" s="826" t="s">
        <v>1127</v>
      </c>
      <c r="C13" s="416" t="s">
        <v>19</v>
      </c>
      <c r="D13" s="242">
        <f t="shared" ca="1" si="2"/>
        <v>8157.6623265141607</v>
      </c>
      <c r="E13" s="71"/>
      <c r="F13" s="827">
        <f ca="1">УСН!F14</f>
        <v>130.1239999999998</v>
      </c>
      <c r="G13" s="827">
        <f ca="1">УСН!G14</f>
        <v>310.17094400000025</v>
      </c>
      <c r="H13" s="827">
        <f ca="1">УСН!H14</f>
        <v>557.96291686400048</v>
      </c>
      <c r="I13" s="827">
        <f ca="1">УСН!I14</f>
        <v>880.76493620838619</v>
      </c>
      <c r="J13" s="827">
        <f ca="1">УСН!J14</f>
        <v>1052.4279812760558</v>
      </c>
      <c r="K13" s="827">
        <f ca="1">УСН!K14</f>
        <v>1053.2921693091137</v>
      </c>
      <c r="L13" s="827">
        <f ca="1">УСН!L14</f>
        <v>1051.8818807152875</v>
      </c>
      <c r="M13" s="827">
        <f ca="1">УСН!M14</f>
        <v>1047.9768299572017</v>
      </c>
      <c r="N13" s="827">
        <f ca="1">УСН!N14</f>
        <v>1041.340678913537</v>
      </c>
      <c r="O13" s="827">
        <f ca="1">УСН!O14</f>
        <v>1031.7199892705783</v>
      </c>
      <c r="P13" s="349"/>
      <c r="Q13" s="156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>
      <c r="A14" s="71"/>
      <c r="B14" s="164"/>
      <c r="C14" s="184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156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>
      <c r="A15" s="71"/>
      <c r="B15" s="164"/>
      <c r="C15" s="184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156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ht="28.5">
      <c r="A16" s="412">
        <f ca="1">ROUND(D16/1000,2)</f>
        <v>188.74</v>
      </c>
      <c r="B16" s="413" t="s">
        <v>725</v>
      </c>
      <c r="C16" s="184"/>
      <c r="D16" s="223">
        <f ca="1">SUM(D17:D20)</f>
        <v>188736.21798172209</v>
      </c>
      <c r="E16" s="153" t="str">
        <f ca="1">CONCATENATE("всего: ",(ROUND(D16/1000,2)))</f>
        <v>всего: 188,74</v>
      </c>
      <c r="F16" s="223">
        <f t="shared" ref="F16:O16" ca="1" si="3">SUM(F17:F20)</f>
        <v>13565.244000000001</v>
      </c>
      <c r="G16" s="223">
        <f t="shared" ca="1" si="3"/>
        <v>14721.657664</v>
      </c>
      <c r="H16" s="223">
        <f t="shared" ca="1" si="3"/>
        <v>16004.460893184003</v>
      </c>
      <c r="I16" s="223">
        <f t="shared" ca="1" si="3"/>
        <v>17649.134639202312</v>
      </c>
      <c r="J16" s="223">
        <f t="shared" ca="1" si="3"/>
        <v>18816.519533237642</v>
      </c>
      <c r="K16" s="223">
        <f t="shared" ca="1" si="3"/>
        <v>19685.828123700547</v>
      </c>
      <c r="L16" s="223">
        <f t="shared" ca="1" si="3"/>
        <v>20596.441335093441</v>
      </c>
      <c r="M16" s="223">
        <f t="shared" ca="1" si="3"/>
        <v>21550.377159782965</v>
      </c>
      <c r="N16" s="223">
        <f t="shared" ca="1" si="3"/>
        <v>22549.754795052071</v>
      </c>
      <c r="O16" s="223">
        <f t="shared" ca="1" si="3"/>
        <v>23596.799838469102</v>
      </c>
      <c r="P16" s="348"/>
      <c r="Q16" s="156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30">
      <c r="A17" s="412">
        <f ca="1">ROUND(D17/1000,2)</f>
        <v>77.930000000000007</v>
      </c>
      <c r="B17" s="164" t="s">
        <v>726</v>
      </c>
      <c r="C17" s="415" t="s">
        <v>19</v>
      </c>
      <c r="D17" s="242">
        <f ca="1">SUM(F17:O17)</f>
        <v>77931.453479970573</v>
      </c>
      <c r="E17" s="153">
        <f ca="1">ROUND(D17/1000,0)</f>
        <v>78</v>
      </c>
      <c r="F17" s="225">
        <f t="shared" ref="F17:O17" ca="1" si="4">F6+F7</f>
        <v>5500</v>
      </c>
      <c r="G17" s="225">
        <f t="shared" ca="1" si="4"/>
        <v>6032</v>
      </c>
      <c r="H17" s="225">
        <f t="shared" ca="1" si="4"/>
        <v>6597.7600000000011</v>
      </c>
      <c r="I17" s="225">
        <f t="shared" ca="1" si="4"/>
        <v>7424.1024000000025</v>
      </c>
      <c r="J17" s="225">
        <f t="shared" ca="1" si="4"/>
        <v>7896.545280000003</v>
      </c>
      <c r="K17" s="225">
        <f t="shared" ca="1" si="4"/>
        <v>8212.4070912000025</v>
      </c>
      <c r="L17" s="225">
        <f t="shared" ca="1" si="4"/>
        <v>8540.9033748480033</v>
      </c>
      <c r="M17" s="225">
        <f t="shared" ca="1" si="4"/>
        <v>8882.5395098419231</v>
      </c>
      <c r="N17" s="225">
        <f t="shared" ca="1" si="4"/>
        <v>9237.841090235599</v>
      </c>
      <c r="O17" s="225">
        <f t="shared" ca="1" si="4"/>
        <v>9607.3547338450244</v>
      </c>
      <c r="P17" s="349"/>
      <c r="Q17" s="156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</row>
    <row r="18" spans="1:30">
      <c r="A18" s="412">
        <f ca="1">ROUND(D18/1000,2)</f>
        <v>62.97</v>
      </c>
      <c r="B18" s="164" t="s">
        <v>727</v>
      </c>
      <c r="C18" s="415" t="s">
        <v>19</v>
      </c>
      <c r="D18" s="242">
        <f ca="1">SUM(F18:O18)</f>
        <v>62969.221740475863</v>
      </c>
      <c r="E18" s="153">
        <f ca="1">ROUND(D18/1000,0)</f>
        <v>63</v>
      </c>
      <c r="F18" s="225">
        <f ca="1">F8+F9+F10+F13</f>
        <v>4367.3239999999996</v>
      </c>
      <c r="G18" s="225">
        <f t="shared" ref="G18:O18" ca="1" si="5">G8+G9+G10+G13</f>
        <v>4784.654144000001</v>
      </c>
      <c r="H18" s="225">
        <f t="shared" ca="1" si="5"/>
        <v>5283.0171760640005</v>
      </c>
      <c r="I18" s="225">
        <f t="shared" ca="1" si="5"/>
        <v>5870.4222339235857</v>
      </c>
      <c r="J18" s="225">
        <f t="shared" ca="1" si="5"/>
        <v>6321.5060876633088</v>
      </c>
      <c r="K18" s="225">
        <f t="shared" ca="1" si="5"/>
        <v>6617.4386496540528</v>
      </c>
      <c r="L18" s="225">
        <f t="shared" ca="1" si="5"/>
        <v>6927.6205639595428</v>
      </c>
      <c r="M18" s="225">
        <f t="shared" ca="1" si="5"/>
        <v>7252.7568794631352</v>
      </c>
      <c r="N18" s="225">
        <f t="shared" ca="1" si="5"/>
        <v>7593.5884111918031</v>
      </c>
      <c r="O18" s="225">
        <f t="shared" ca="1" si="5"/>
        <v>7950.8935945564281</v>
      </c>
      <c r="P18" s="349"/>
      <c r="Q18" s="156"/>
    </row>
    <row r="19" spans="1:30">
      <c r="A19" s="412">
        <f>ROUND(D19/1000,2)</f>
        <v>9.9700000000000006</v>
      </c>
      <c r="B19" s="164" t="s">
        <v>596</v>
      </c>
      <c r="C19" s="415" t="s">
        <v>19</v>
      </c>
      <c r="D19" s="242">
        <f>SUM(F19:O19)</f>
        <v>9965.7380752657646</v>
      </c>
      <c r="E19" s="153">
        <f>ROUND(D19/1000,0)</f>
        <v>10</v>
      </c>
      <c r="F19" s="225">
        <f t="shared" ref="F19:O19" si="6">F11</f>
        <v>770.4</v>
      </c>
      <c r="G19" s="225">
        <f t="shared" si="6"/>
        <v>813.54240000000004</v>
      </c>
      <c r="H19" s="225">
        <f t="shared" si="6"/>
        <v>859.10077440000009</v>
      </c>
      <c r="I19" s="225">
        <f t="shared" si="6"/>
        <v>907.21041776640004</v>
      </c>
      <c r="J19" s="225">
        <f t="shared" si="6"/>
        <v>958.01420116131862</v>
      </c>
      <c r="K19" s="225">
        <f t="shared" si="6"/>
        <v>1011.6629964263525</v>
      </c>
      <c r="L19" s="225">
        <f t="shared" si="6"/>
        <v>1068.3161242262283</v>
      </c>
      <c r="M19" s="225">
        <f t="shared" si="6"/>
        <v>1128.141827182897</v>
      </c>
      <c r="N19" s="225">
        <f t="shared" si="6"/>
        <v>1191.3177695051393</v>
      </c>
      <c r="O19" s="225">
        <f t="shared" si="6"/>
        <v>1258.0315645974272</v>
      </c>
      <c r="P19" s="349"/>
      <c r="Q19" s="156"/>
    </row>
    <row r="20" spans="1:30">
      <c r="A20" s="412">
        <f>ROUND(D20/1000,2)</f>
        <v>37.869999999999997</v>
      </c>
      <c r="B20" s="206" t="s">
        <v>528</v>
      </c>
      <c r="C20" s="415" t="s">
        <v>19</v>
      </c>
      <c r="D20" s="242">
        <f>SUM(F20:O20)</f>
        <v>37869.804686009898</v>
      </c>
      <c r="E20" s="153">
        <f>ROUND(D20/1000,0)</f>
        <v>38</v>
      </c>
      <c r="F20" s="225">
        <f>Персонал!F38</f>
        <v>2927.52</v>
      </c>
      <c r="G20" s="225">
        <f>Персонал!G38</f>
        <v>3091.4611199999999</v>
      </c>
      <c r="H20" s="225">
        <f>Персонал!H38</f>
        <v>3264.5829427200006</v>
      </c>
      <c r="I20" s="225">
        <f>Персонал!I38</f>
        <v>3447.3995875123201</v>
      </c>
      <c r="J20" s="225">
        <f>Персонал!J38</f>
        <v>3640.4539644130109</v>
      </c>
      <c r="K20" s="225">
        <f>Персонал!K38</f>
        <v>3844.3193864201394</v>
      </c>
      <c r="L20" s="225">
        <f>Персонал!L38</f>
        <v>4059.6012720596673</v>
      </c>
      <c r="M20" s="225">
        <f>Персонал!M38</f>
        <v>4286.9389432950084</v>
      </c>
      <c r="N20" s="225">
        <f>Персонал!N38</f>
        <v>4527.0075241195291</v>
      </c>
      <c r="O20" s="225">
        <f>Персонал!O38</f>
        <v>4780.5199454702233</v>
      </c>
      <c r="P20" s="349"/>
      <c r="Q20" s="156"/>
    </row>
    <row r="21" spans="1:30">
      <c r="A21" s="366"/>
      <c r="B21" s="164"/>
      <c r="C21" s="184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156"/>
    </row>
    <row r="22" spans="1:30">
      <c r="A22" s="366"/>
      <c r="B22" s="164"/>
      <c r="C22" s="184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156"/>
    </row>
    <row r="23" spans="1:30" ht="28.5">
      <c r="A23" s="412">
        <f ca="1">ROUND(D23/1000,2)</f>
        <v>111.62</v>
      </c>
      <c r="B23" s="413" t="s">
        <v>730</v>
      </c>
      <c r="C23" s="238" t="s">
        <v>19</v>
      </c>
      <c r="D23" s="223">
        <f ca="1">SUM(D24:D29)</f>
        <v>111616.26644297654</v>
      </c>
      <c r="E23" s="153" t="str">
        <f ca="1">CONCATENATE("всего: ",(ROUND(D23/1000,2)))</f>
        <v>всего: 111,62</v>
      </c>
      <c r="F23" s="223">
        <f t="shared" ref="F23:O23" ca="1" si="7">SUM(F24:F29)</f>
        <v>8888.7279999999992</v>
      </c>
      <c r="G23" s="223">
        <f t="shared" ca="1" si="7"/>
        <v>9732.0167680000013</v>
      </c>
      <c r="H23" s="223">
        <f t="shared" ca="1" si="7"/>
        <v>10737.854507008</v>
      </c>
      <c r="I23" s="223">
        <f t="shared" ca="1" si="7"/>
        <v>11922.286551400452</v>
      </c>
      <c r="J23" s="223">
        <f t="shared" ca="1" si="7"/>
        <v>12834.61501555888</v>
      </c>
      <c r="K23" s="223">
        <f t="shared" ca="1" si="7"/>
        <v>13437.209898593377</v>
      </c>
      <c r="L23" s="223">
        <f t="shared" ca="1" si="7"/>
        <v>14068.90435276433</v>
      </c>
      <c r="M23" s="223">
        <f t="shared" ca="1" si="7"/>
        <v>14731.142124362848</v>
      </c>
      <c r="N23" s="223">
        <f t="shared" ca="1" si="7"/>
        <v>15425.440376284634</v>
      </c>
      <c r="O23" s="223">
        <f t="shared" ca="1" si="7"/>
        <v>16153.393502032337</v>
      </c>
      <c r="P23" s="348"/>
      <c r="Q23" s="156"/>
    </row>
    <row r="24" spans="1:30" ht="30">
      <c r="A24" s="412">
        <f ca="1">ROUND(D24/1000,2)</f>
        <v>0</v>
      </c>
      <c r="B24" s="164" t="s">
        <v>757</v>
      </c>
      <c r="C24" s="238" t="s">
        <v>19</v>
      </c>
      <c r="D24" s="374">
        <f ca="1">SUM(F24:O24)</f>
        <v>0</v>
      </c>
      <c r="E24" s="71"/>
      <c r="F24" s="353">
        <f ca="1">НалПрибыль!F16-F7</f>
        <v>0</v>
      </c>
      <c r="G24" s="353">
        <f ca="1">НалПрибыль!G16-G7</f>
        <v>0</v>
      </c>
      <c r="H24" s="353">
        <f ca="1">НалПрибыль!H16-H7</f>
        <v>0</v>
      </c>
      <c r="I24" s="353">
        <f ca="1">НалПрибыль!I16-I7</f>
        <v>0</v>
      </c>
      <c r="J24" s="353">
        <f ca="1">НалПрибыль!J16-J7</f>
        <v>0</v>
      </c>
      <c r="K24" s="353">
        <f ca="1">НалПрибыль!K16-K7</f>
        <v>0</v>
      </c>
      <c r="L24" s="353">
        <f ca="1">НалПрибыль!L16-L7</f>
        <v>0</v>
      </c>
      <c r="M24" s="353">
        <f ca="1">НалПрибыль!M16-M7</f>
        <v>0</v>
      </c>
      <c r="N24" s="353">
        <f ca="1">НалПрибыль!N16-N7</f>
        <v>0</v>
      </c>
      <c r="O24" s="353">
        <f ca="1">НалПрибыль!O16-O7</f>
        <v>0</v>
      </c>
      <c r="P24" s="353"/>
      <c r="Q24" s="156"/>
    </row>
    <row r="25" spans="1:30" ht="30">
      <c r="A25" s="412">
        <f ca="1">ROUND(D25/1000,2)</f>
        <v>0</v>
      </c>
      <c r="B25" s="164" t="s">
        <v>758</v>
      </c>
      <c r="C25" s="238" t="s">
        <v>19</v>
      </c>
      <c r="D25" s="374">
        <f ca="1">SUM(F25:O25)</f>
        <v>0</v>
      </c>
      <c r="E25" s="71"/>
      <c r="F25" s="353">
        <f ca="1">НалПрибыль!F17-F8</f>
        <v>0</v>
      </c>
      <c r="G25" s="353">
        <f ca="1">НалПрибыль!G17-G8</f>
        <v>0</v>
      </c>
      <c r="H25" s="353">
        <f ca="1">НалПрибыль!H17-H8</f>
        <v>0</v>
      </c>
      <c r="I25" s="353">
        <f ca="1">НалПрибыль!I17-I8</f>
        <v>0</v>
      </c>
      <c r="J25" s="353">
        <f ca="1">НалПрибыль!J17-J8</f>
        <v>0</v>
      </c>
      <c r="K25" s="353">
        <f ca="1">НалПрибыль!K17-K8</f>
        <v>0</v>
      </c>
      <c r="L25" s="353">
        <f ca="1">НалПрибыль!L17-L8</f>
        <v>0</v>
      </c>
      <c r="M25" s="353">
        <f ca="1">НалПрибыль!M17-M8</f>
        <v>0</v>
      </c>
      <c r="N25" s="353">
        <f ca="1">НалПрибыль!N17-N8</f>
        <v>0</v>
      </c>
      <c r="O25" s="353">
        <f ca="1">НалПрибыль!O17-O8</f>
        <v>0</v>
      </c>
      <c r="P25" s="353"/>
      <c r="Q25" s="156"/>
    </row>
    <row r="26" spans="1:30">
      <c r="A26" s="412"/>
      <c r="B26" s="164" t="s">
        <v>1228</v>
      </c>
      <c r="C26" s="238" t="s">
        <v>19</v>
      </c>
      <c r="D26" s="374"/>
      <c r="E26" s="71"/>
      <c r="F26" s="353">
        <f ca="1">УСН!F7-УСН!F14</f>
        <v>260.24799999999959</v>
      </c>
      <c r="G26" s="353">
        <f ca="1">УСН!G7-УСН!G14</f>
        <v>620.34188800000038</v>
      </c>
      <c r="H26" s="353">
        <f ca="1">УСН!H7-УСН!H14</f>
        <v>1115.9258337280007</v>
      </c>
      <c r="I26" s="353">
        <f ca="1">УСН!I7-УСН!I14</f>
        <v>1761.5298724167719</v>
      </c>
      <c r="J26" s="353">
        <f ca="1">УСН!J7-УСН!J14</f>
        <v>2104.8559625521111</v>
      </c>
      <c r="K26" s="353">
        <f ca="1">УСН!K7-УСН!K14</f>
        <v>2106.5843386182278</v>
      </c>
      <c r="L26" s="353">
        <f ca="1">УСН!L7-УСН!L14</f>
        <v>2103.763761430575</v>
      </c>
      <c r="M26" s="353">
        <f ca="1">УСН!M7-УСН!M14</f>
        <v>2095.953659914403</v>
      </c>
      <c r="N26" s="353">
        <f ca="1">УСН!N7-УСН!N14</f>
        <v>2082.681357827074</v>
      </c>
      <c r="O26" s="353">
        <f ca="1">УСН!O7-УСН!O14</f>
        <v>2063.4399785411561</v>
      </c>
      <c r="P26" s="353"/>
      <c r="Q26" s="156"/>
    </row>
    <row r="27" spans="1:30">
      <c r="A27" s="412">
        <f>ROUND(D27/1000,2)</f>
        <v>0</v>
      </c>
      <c r="B27" s="164" t="s">
        <v>731</v>
      </c>
      <c r="C27" s="415" t="s">
        <v>19</v>
      </c>
      <c r="D27" s="242">
        <f>SUM(F27:O27)</f>
        <v>0</v>
      </c>
      <c r="E27" s="153">
        <f>ROUND(D27/1000,0)</f>
        <v>0</v>
      </c>
      <c r="F27" s="225">
        <f>НалИмущество!F21</f>
        <v>0</v>
      </c>
      <c r="G27" s="225">
        <f>НалИмущество!G21</f>
        <v>0</v>
      </c>
      <c r="H27" s="225">
        <f>НалИмущество!H21</f>
        <v>0</v>
      </c>
      <c r="I27" s="225">
        <f>НалИмущество!I21</f>
        <v>0</v>
      </c>
      <c r="J27" s="225">
        <f>НалИмущество!J21</f>
        <v>0</v>
      </c>
      <c r="K27" s="225">
        <f>НалИмущество!K21</f>
        <v>0</v>
      </c>
      <c r="L27" s="225">
        <f>НалИмущество!L21</f>
        <v>0</v>
      </c>
      <c r="M27" s="225">
        <f>НалИмущество!M21</f>
        <v>0</v>
      </c>
      <c r="N27" s="225">
        <f>НалИмущество!N21</f>
        <v>0</v>
      </c>
      <c r="O27" s="225">
        <f>НалИмущество!O21</f>
        <v>0</v>
      </c>
      <c r="P27" s="349"/>
      <c r="Q27" s="156"/>
    </row>
    <row r="28" spans="1:30">
      <c r="A28" s="412">
        <f>ROUND(D28/1000,2)</f>
        <v>111.62</v>
      </c>
      <c r="B28" s="164" t="s">
        <v>747</v>
      </c>
      <c r="C28" s="415" t="s">
        <v>19</v>
      </c>
      <c r="D28" s="242">
        <f>SUM(F28:O28)</f>
        <v>111616.26644297654</v>
      </c>
      <c r="E28" s="153"/>
      <c r="F28" s="349">
        <f>Персонал!F42</f>
        <v>8628.48</v>
      </c>
      <c r="G28" s="349">
        <f>Персонал!G42</f>
        <v>9111.6748800000005</v>
      </c>
      <c r="H28" s="349">
        <f>Персонал!H42</f>
        <v>9621.9286732799992</v>
      </c>
      <c r="I28" s="349">
        <f>Персонал!I42</f>
        <v>10160.75667898368</v>
      </c>
      <c r="J28" s="349">
        <f>Персонал!J42</f>
        <v>10729.759053006768</v>
      </c>
      <c r="K28" s="349">
        <f>Персонал!K42</f>
        <v>11330.625559975149</v>
      </c>
      <c r="L28" s="349">
        <f>Персонал!L42</f>
        <v>11965.140591333755</v>
      </c>
      <c r="M28" s="349">
        <f>Персонал!M42</f>
        <v>12635.188464448445</v>
      </c>
      <c r="N28" s="349">
        <f>Персонал!N42</f>
        <v>13342.75901845756</v>
      </c>
      <c r="O28" s="349">
        <f>Персонал!O42</f>
        <v>14089.953523491182</v>
      </c>
      <c r="P28" s="349"/>
      <c r="Q28" s="156"/>
    </row>
    <row r="29" spans="1:30">
      <c r="A29" s="71"/>
      <c r="B29" s="164"/>
      <c r="C29" s="184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156"/>
    </row>
    <row r="30" spans="1:30" ht="28.5">
      <c r="A30" s="71"/>
      <c r="B30" s="413" t="s">
        <v>730</v>
      </c>
      <c r="C30" s="184"/>
      <c r="D30" s="223">
        <f ca="1">SUM(D31:D34)</f>
        <v>127931.59109600486</v>
      </c>
      <c r="E30" s="153" t="str">
        <f ca="1">CONCATENATE("всего: ",(ROUND(D30/1000,2)))</f>
        <v>всего: 127,93</v>
      </c>
      <c r="F30" s="223">
        <f t="shared" ref="F30:O30" ca="1" si="8">SUM(F31:F34)</f>
        <v>8888.7279999999992</v>
      </c>
      <c r="G30" s="223">
        <f t="shared" ca="1" si="8"/>
        <v>9732.0167680000013</v>
      </c>
      <c r="H30" s="223">
        <f t="shared" ca="1" si="8"/>
        <v>10737.854507008</v>
      </c>
      <c r="I30" s="223">
        <f t="shared" ca="1" si="8"/>
        <v>11922.286551400452</v>
      </c>
      <c r="J30" s="223">
        <f t="shared" ca="1" si="8"/>
        <v>12834.61501555888</v>
      </c>
      <c r="K30" s="223">
        <f t="shared" ca="1" si="8"/>
        <v>13437.209898593377</v>
      </c>
      <c r="L30" s="223">
        <f t="shared" ca="1" si="8"/>
        <v>14068.90435276433</v>
      </c>
      <c r="M30" s="223">
        <f t="shared" ca="1" si="8"/>
        <v>14731.142124362848</v>
      </c>
      <c r="N30" s="223">
        <f t="shared" ca="1" si="8"/>
        <v>15425.440376284634</v>
      </c>
      <c r="O30" s="223">
        <f t="shared" ca="1" si="8"/>
        <v>16153.393502032337</v>
      </c>
      <c r="P30" s="348"/>
      <c r="Q30" s="156"/>
    </row>
    <row r="31" spans="1:30">
      <c r="A31" s="71"/>
      <c r="B31" s="164" t="s">
        <v>726</v>
      </c>
      <c r="C31" s="415" t="s">
        <v>19</v>
      </c>
      <c r="D31" s="242">
        <f ca="1">SUM(F31:O31)</f>
        <v>0</v>
      </c>
      <c r="E31" s="153">
        <f ca="1">ROUND(D31/1000,0)</f>
        <v>0</v>
      </c>
      <c r="F31" s="225">
        <f ca="1">F24</f>
        <v>0</v>
      </c>
      <c r="G31" s="225">
        <f t="shared" ref="G31:O31" ca="1" si="9">G24</f>
        <v>0</v>
      </c>
      <c r="H31" s="225">
        <f t="shared" ca="1" si="9"/>
        <v>0</v>
      </c>
      <c r="I31" s="225">
        <f t="shared" ca="1" si="9"/>
        <v>0</v>
      </c>
      <c r="J31" s="225">
        <f t="shared" ca="1" si="9"/>
        <v>0</v>
      </c>
      <c r="K31" s="225">
        <f t="shared" ca="1" si="9"/>
        <v>0</v>
      </c>
      <c r="L31" s="225">
        <f t="shared" ca="1" si="9"/>
        <v>0</v>
      </c>
      <c r="M31" s="225">
        <f t="shared" ca="1" si="9"/>
        <v>0</v>
      </c>
      <c r="N31" s="225">
        <f t="shared" ca="1" si="9"/>
        <v>0</v>
      </c>
      <c r="O31" s="225">
        <f t="shared" ca="1" si="9"/>
        <v>0</v>
      </c>
      <c r="P31" s="349"/>
      <c r="Q31" s="156"/>
    </row>
    <row r="32" spans="1:30">
      <c r="A32" s="71"/>
      <c r="B32" s="164" t="s">
        <v>727</v>
      </c>
      <c r="C32" s="415" t="s">
        <v>19</v>
      </c>
      <c r="D32" s="242">
        <f ca="1">SUM(F32:O32)</f>
        <v>16315.324653028321</v>
      </c>
      <c r="E32" s="153">
        <f ca="1">ROUND(D32/1000,0)</f>
        <v>16</v>
      </c>
      <c r="F32" s="225">
        <f ca="1">F25+F27+F26</f>
        <v>260.24799999999959</v>
      </c>
      <c r="G32" s="225">
        <f t="shared" ref="G32:O32" ca="1" si="10">G25+G27+G26</f>
        <v>620.34188800000038</v>
      </c>
      <c r="H32" s="225">
        <f t="shared" ca="1" si="10"/>
        <v>1115.9258337280007</v>
      </c>
      <c r="I32" s="225">
        <f t="shared" ca="1" si="10"/>
        <v>1761.5298724167719</v>
      </c>
      <c r="J32" s="225">
        <f t="shared" ca="1" si="10"/>
        <v>2104.8559625521111</v>
      </c>
      <c r="K32" s="225">
        <f t="shared" ca="1" si="10"/>
        <v>2106.5843386182278</v>
      </c>
      <c r="L32" s="225">
        <f t="shared" ca="1" si="10"/>
        <v>2103.763761430575</v>
      </c>
      <c r="M32" s="225">
        <f t="shared" ca="1" si="10"/>
        <v>2095.953659914403</v>
      </c>
      <c r="N32" s="225">
        <f t="shared" ca="1" si="10"/>
        <v>2082.681357827074</v>
      </c>
      <c r="O32" s="225">
        <f t="shared" ca="1" si="10"/>
        <v>2063.4399785411561</v>
      </c>
      <c r="P32" s="349"/>
      <c r="Q32" s="156"/>
    </row>
    <row r="33" spans="1:17">
      <c r="A33" s="71"/>
      <c r="B33" s="164" t="s">
        <v>596</v>
      </c>
      <c r="C33" s="415" t="s">
        <v>19</v>
      </c>
      <c r="D33" s="242">
        <f>SUM(F33:O33)</f>
        <v>0</v>
      </c>
      <c r="E33" s="153">
        <f>ROUND(D33/1000,0)</f>
        <v>0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349"/>
      <c r="Q33" s="156"/>
    </row>
    <row r="34" spans="1:17">
      <c r="A34" s="364" t="str">
        <f t="array" aca="1" ref="A34" ca="1">HYPERLINK(CELL("адрес",Персонал!A42),"источник")</f>
        <v>источник</v>
      </c>
      <c r="B34" s="164" t="s">
        <v>747</v>
      </c>
      <c r="C34" s="415" t="s">
        <v>19</v>
      </c>
      <c r="D34" s="242">
        <f>SUM(F34:O34)</f>
        <v>111616.26644297654</v>
      </c>
      <c r="E34" s="153"/>
      <c r="F34" s="349">
        <f>Персонал!F42</f>
        <v>8628.48</v>
      </c>
      <c r="G34" s="349">
        <f>Персонал!G42</f>
        <v>9111.6748800000005</v>
      </c>
      <c r="H34" s="349">
        <f>Персонал!H42</f>
        <v>9621.9286732799992</v>
      </c>
      <c r="I34" s="349">
        <f>Персонал!I42</f>
        <v>10160.75667898368</v>
      </c>
      <c r="J34" s="349">
        <f>Персонал!J42</f>
        <v>10729.759053006768</v>
      </c>
      <c r="K34" s="349">
        <f>Персонал!K42</f>
        <v>11330.625559975149</v>
      </c>
      <c r="L34" s="349">
        <f>Персонал!L42</f>
        <v>11965.140591333755</v>
      </c>
      <c r="M34" s="349">
        <f>Персонал!M42</f>
        <v>12635.188464448445</v>
      </c>
      <c r="N34" s="349">
        <f>Персонал!N42</f>
        <v>13342.75901845756</v>
      </c>
      <c r="O34" s="349">
        <f>Персонал!O42</f>
        <v>14089.953523491182</v>
      </c>
      <c r="P34" s="349"/>
      <c r="Q34" s="156"/>
    </row>
    <row r="35" spans="1:17">
      <c r="B35" s="71"/>
      <c r="C35" s="184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156"/>
    </row>
    <row r="36" spans="1:17">
      <c r="B36" s="71"/>
      <c r="C36" s="184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156"/>
    </row>
    <row r="37" spans="1:17">
      <c r="B37" s="71"/>
      <c r="C37" s="184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156"/>
    </row>
    <row r="38" spans="1:17">
      <c r="B38" s="414" t="str">
        <f t="array" aca="1" ref="B38" ca="1">HYPERLINK(CELL("адрес",БДР!$A$1),"Перейти на лист БДР")</f>
        <v>Перейти на лист БДР</v>
      </c>
      <c r="C38" s="184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1:17">
      <c r="B39" s="414" t="str">
        <f t="array" aca="1" ref="B39" ca="1">HYPERLINK(CELL("адрес",БДДС!$A$1),"Перейти на лист БДДС")</f>
        <v>Перейти на лист БДДС</v>
      </c>
      <c r="C39" s="184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1:17">
      <c r="B40" s="414" t="str">
        <f t="array" aca="1" ref="B40" ca="1">HYPERLINK(CELL("адрес",Баланс!$A$1),"Перейти на лист Баланс")</f>
        <v>Перейти на лист Баланс</v>
      </c>
      <c r="C40" s="184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7">
      <c r="B41" s="414" t="str">
        <f t="array" aca="1" ref="B41" ca="1">HYPERLINK(CELL("адрес",Дашборд_ИтогТабл!$A$1),"Перейти на лист Дашборд_1")</f>
        <v>Перейти на лист Дашборд_1</v>
      </c>
      <c r="C41" s="184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1:17">
      <c r="B42" s="414" t="str">
        <f t="array" aca="1" ref="B42" ca="1">HYPERLINK(CELL("адрес",Дашборд_Основной!$A$1),"Перейти на лист Дашборд_Общий")</f>
        <v>Перейти на лист Дашборд_Общий</v>
      </c>
      <c r="C42" s="184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17">
      <c r="B43" s="414" t="str">
        <f t="array" aca="1" ref="B43" ca="1">HYPERLINK(CELL("адрес",Дашборд_налоги!$A$1),"Перейти на лист Дашборд_Налоги")</f>
        <v>Перейти на лист Дашборд_Налоги</v>
      </c>
      <c r="C43" s="184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1:17">
      <c r="B44" s="414"/>
      <c r="C44" s="184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</sheetData>
  <hyperlinks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81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theme="5" tint="0.79998168889431442"/>
    <outlinePr summaryRight="0"/>
    <pageSetUpPr fitToPage="1"/>
  </sheetPr>
  <dimension ref="A1:AQ207"/>
  <sheetViews>
    <sheetView zoomScaleNormal="100" workbookViewId="0">
      <pane xSplit="4" ySplit="4" topLeftCell="E5" activePane="bottomRight" state="frozen"/>
      <selection activeCell="C1" sqref="C1"/>
      <selection pane="topRight" activeCell="C1" sqref="C1"/>
      <selection pane="bottomLeft" activeCell="C1" sqref="C1"/>
      <selection pane="bottomRight" activeCell="U13" sqref="U13"/>
    </sheetView>
  </sheetViews>
  <sheetFormatPr defaultRowHeight="15"/>
  <cols>
    <col min="1" max="1" width="8.28515625" customWidth="1"/>
    <col min="2" max="2" width="27.7109375" style="2" customWidth="1"/>
    <col min="3" max="3" width="11" style="5" customWidth="1"/>
    <col min="4" max="4" width="11" customWidth="1"/>
    <col min="5" max="5" width="2.28515625" customWidth="1"/>
    <col min="17" max="17" width="10.5703125" customWidth="1"/>
  </cols>
  <sheetData>
    <row r="1" spans="1:18" ht="18.75">
      <c r="A1" s="651" t="s">
        <v>687</v>
      </c>
      <c r="B1" s="164"/>
      <c r="C1" s="184"/>
      <c r="D1" s="71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71"/>
      <c r="R1" s="71"/>
    </row>
    <row r="2" spans="1:18">
      <c r="A2" s="71" t="str">
        <f>Паспорт_ФМ_резидент!B7</f>
        <v>Разработка, производство, модернизация и реализация …</v>
      </c>
      <c r="B2" s="164"/>
      <c r="C2" s="184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71"/>
      <c r="Q2" s="71"/>
      <c r="R2" s="71"/>
    </row>
    <row r="3" spans="1:18" s="18" customFormat="1" ht="28.5">
      <c r="A3" s="78" t="s">
        <v>2</v>
      </c>
      <c r="B3" s="92" t="s">
        <v>3</v>
      </c>
      <c r="C3" s="127" t="s">
        <v>12</v>
      </c>
      <c r="D3" s="194" t="str">
        <f>CONCATENATE("Итого ",F3,"-",O3)</f>
        <v>Итого 2025-2034</v>
      </c>
      <c r="E3" s="152"/>
      <c r="F3" s="766">
        <v>2025</v>
      </c>
      <c r="G3" s="127">
        <f>F3+1</f>
        <v>2026</v>
      </c>
      <c r="H3" s="127">
        <f t="shared" ref="H3:O3" si="0">G3+1</f>
        <v>2027</v>
      </c>
      <c r="I3" s="127">
        <f t="shared" si="0"/>
        <v>2028</v>
      </c>
      <c r="J3" s="127">
        <f t="shared" si="0"/>
        <v>2029</v>
      </c>
      <c r="K3" s="127">
        <f t="shared" si="0"/>
        <v>2030</v>
      </c>
      <c r="L3" s="127">
        <f t="shared" si="0"/>
        <v>2031</v>
      </c>
      <c r="M3" s="127">
        <f t="shared" si="0"/>
        <v>2032</v>
      </c>
      <c r="N3" s="127">
        <f t="shared" si="0"/>
        <v>2033</v>
      </c>
      <c r="O3" s="127">
        <f t="shared" si="0"/>
        <v>2034</v>
      </c>
      <c r="P3" s="152"/>
      <c r="Q3" s="152"/>
      <c r="R3" s="152"/>
    </row>
    <row r="4" spans="1:18" ht="8.1" customHeight="1">
      <c r="A4" s="128"/>
      <c r="B4" s="25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71"/>
      <c r="Q4" s="71"/>
      <c r="R4" s="71"/>
    </row>
    <row r="5" spans="1:18" ht="20.100000000000001" customHeight="1">
      <c r="A5" s="477" t="s">
        <v>738</v>
      </c>
      <c r="B5" s="485"/>
      <c r="C5" s="498"/>
      <c r="D5" s="504"/>
      <c r="E5" s="71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71"/>
      <c r="Q5" s="71"/>
      <c r="R5" s="71"/>
    </row>
    <row r="6" spans="1:18" ht="57" customHeight="1">
      <c r="A6" s="478"/>
      <c r="B6" s="486" t="s">
        <v>685</v>
      </c>
      <c r="C6" s="499" t="s">
        <v>27</v>
      </c>
      <c r="D6" s="505">
        <v>0</v>
      </c>
      <c r="E6" s="71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71"/>
      <c r="Q6" s="71"/>
      <c r="R6" s="71"/>
    </row>
    <row r="7" spans="1:18" ht="57" customHeight="1">
      <c r="A7" s="478"/>
      <c r="B7" s="486" t="s">
        <v>686</v>
      </c>
      <c r="C7" s="499" t="s">
        <v>27</v>
      </c>
      <c r="D7" s="505">
        <v>0</v>
      </c>
      <c r="E7" s="71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467" t="s">
        <v>853</v>
      </c>
      <c r="Q7" s="469" t="s">
        <v>854</v>
      </c>
      <c r="R7" s="71"/>
    </row>
    <row r="8" spans="1:18" ht="57" customHeight="1">
      <c r="A8" s="71"/>
      <c r="B8" s="486" t="s">
        <v>878</v>
      </c>
      <c r="C8" s="499" t="s">
        <v>748</v>
      </c>
      <c r="D8" s="505">
        <v>0</v>
      </c>
      <c r="E8" s="71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468" t="e">
        <f ca="1">Макро!F17</f>
        <v>#DIV/0!</v>
      </c>
      <c r="Q8" s="470" t="e">
        <f ca="1">P8+D8</f>
        <v>#DIV/0!</v>
      </c>
      <c r="R8" s="71"/>
    </row>
    <row r="9" spans="1:18" ht="57" customHeight="1">
      <c r="A9" s="71"/>
      <c r="B9" s="486" t="s">
        <v>879</v>
      </c>
      <c r="C9" s="499" t="s">
        <v>748</v>
      </c>
      <c r="D9" s="505">
        <v>0</v>
      </c>
      <c r="E9" s="71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468">
        <f>Макро!F19</f>
        <v>0.245</v>
      </c>
      <c r="Q9" s="470">
        <f>P9+D9</f>
        <v>0.245</v>
      </c>
      <c r="R9" s="71"/>
    </row>
    <row r="10" spans="1:18">
      <c r="A10" s="251" t="s">
        <v>174</v>
      </c>
      <c r="B10" s="92"/>
      <c r="C10" s="78"/>
      <c r="D10" s="78"/>
      <c r="E10" s="71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1"/>
      <c r="Q10" s="71"/>
      <c r="R10" s="71"/>
    </row>
    <row r="11" spans="1:18" ht="43.5">
      <c r="A11" s="479" t="s">
        <v>178</v>
      </c>
      <c r="B11" s="178" t="str">
        <f>CONCATENATE("DCF накопленным итогом при ставке дисконтирования ",(D8*100),"%")</f>
        <v>DCF накопленным итогом при ставке дисконтирования 0%</v>
      </c>
      <c r="C11" s="264" t="s">
        <v>19</v>
      </c>
      <c r="D11" s="223" t="e">
        <f ca="1">XNPV(Q8,F82:O82,F79:O79)</f>
        <v>#DIV/0!</v>
      </c>
      <c r="E11" s="71"/>
      <c r="F11" s="244" t="e">
        <f ca="1">XNPV($Q$8,$F$82:F82,$F$79:F79)</f>
        <v>#DIV/0!</v>
      </c>
      <c r="G11" s="244" t="e">
        <f ca="1">XNPV($Q$8,$F$82:G82,$F$79:G79)</f>
        <v>#DIV/0!</v>
      </c>
      <c r="H11" s="244" t="e">
        <f ca="1">XNPV($Q$8,$F$82:H82,$F$79:H79)</f>
        <v>#DIV/0!</v>
      </c>
      <c r="I11" s="244" t="e">
        <f ca="1">XNPV($Q$8,$F$82:I82,$F$79:I79)</f>
        <v>#DIV/0!</v>
      </c>
      <c r="J11" s="244" t="e">
        <f ca="1">XNPV($Q$8,$F$82:J82,$F$79:J79)</f>
        <v>#DIV/0!</v>
      </c>
      <c r="K11" s="244" t="e">
        <f ca="1">XNPV($Q$8,$F$82:K82,$F$79:K79)</f>
        <v>#DIV/0!</v>
      </c>
      <c r="L11" s="244" t="e">
        <f ca="1">XNPV($Q$8,$F$82:L82,$F$79:L79)</f>
        <v>#DIV/0!</v>
      </c>
      <c r="M11" s="244" t="e">
        <f ca="1">XNPV($Q$8,$F$82:M82,$F$79:M79)</f>
        <v>#DIV/0!</v>
      </c>
      <c r="N11" s="244" t="e">
        <f ca="1">XNPV($Q$8,$F$82:N82,$F$79:N79)</f>
        <v>#DIV/0!</v>
      </c>
      <c r="O11" s="244" t="e">
        <f ca="1">XNPV($Q$8,$F$82:O82,$F$79:O79)</f>
        <v>#DIV/0!</v>
      </c>
      <c r="P11" s="71"/>
      <c r="Q11" s="471" t="e">
        <f ca="1">КПЭ!D6</f>
        <v>#DIV/0!</v>
      </c>
      <c r="R11" s="473" t="s">
        <v>868</v>
      </c>
    </row>
    <row r="12" spans="1:18">
      <c r="A12" s="254"/>
      <c r="B12" s="178" t="s">
        <v>669</v>
      </c>
      <c r="C12" s="265" t="s">
        <v>131</v>
      </c>
      <c r="D12" s="269">
        <f ca="1">SUM(F12:O12)+1</f>
        <v>2</v>
      </c>
      <c r="E12" s="71"/>
      <c r="F12" s="17">
        <f t="shared" ref="F12:O12" ca="1" si="1">IF(F83&lt;0,1,0)</f>
        <v>1</v>
      </c>
      <c r="G12" s="17">
        <f t="shared" ca="1" si="1"/>
        <v>0</v>
      </c>
      <c r="H12" s="17">
        <f t="shared" ca="1" si="1"/>
        <v>0</v>
      </c>
      <c r="I12" s="17">
        <f t="shared" ca="1" si="1"/>
        <v>0</v>
      </c>
      <c r="J12" s="17">
        <f t="shared" ca="1" si="1"/>
        <v>0</v>
      </c>
      <c r="K12" s="17">
        <f t="shared" ca="1" si="1"/>
        <v>0</v>
      </c>
      <c r="L12" s="17">
        <f t="shared" ca="1" si="1"/>
        <v>0</v>
      </c>
      <c r="M12" s="17">
        <f t="shared" ca="1" si="1"/>
        <v>0</v>
      </c>
      <c r="N12" s="17">
        <f t="shared" ca="1" si="1"/>
        <v>0</v>
      </c>
      <c r="O12" s="17">
        <f t="shared" ca="1" si="1"/>
        <v>0</v>
      </c>
      <c r="P12" s="71"/>
      <c r="Q12" s="472" t="e">
        <f ca="1">D11-Q11</f>
        <v>#DIV/0!</v>
      </c>
      <c r="R12" s="473" t="s">
        <v>855</v>
      </c>
    </row>
    <row r="13" spans="1:18" ht="29.25">
      <c r="A13" s="254"/>
      <c r="B13" s="178" t="s">
        <v>670</v>
      </c>
      <c r="C13" s="265" t="s">
        <v>131</v>
      </c>
      <c r="D13" s="269" t="e">
        <f ca="1">SUM(F13:O13)+1</f>
        <v>#DIV/0!</v>
      </c>
      <c r="E13" s="71"/>
      <c r="F13" s="17" t="e">
        <f t="shared" ref="F13:O13" ca="1" si="2">IF(F11&lt;0,1,0)</f>
        <v>#DIV/0!</v>
      </c>
      <c r="G13" s="17" t="e">
        <f t="shared" ca="1" si="2"/>
        <v>#DIV/0!</v>
      </c>
      <c r="H13" s="17" t="e">
        <f t="shared" ca="1" si="2"/>
        <v>#DIV/0!</v>
      </c>
      <c r="I13" s="17" t="e">
        <f t="shared" ca="1" si="2"/>
        <v>#DIV/0!</v>
      </c>
      <c r="J13" s="17" t="e">
        <f t="shared" ca="1" si="2"/>
        <v>#DIV/0!</v>
      </c>
      <c r="K13" s="17" t="e">
        <f t="shared" ca="1" si="2"/>
        <v>#DIV/0!</v>
      </c>
      <c r="L13" s="17" t="e">
        <f t="shared" ca="1" si="2"/>
        <v>#DIV/0!</v>
      </c>
      <c r="M13" s="17" t="e">
        <f t="shared" ca="1" si="2"/>
        <v>#DIV/0!</v>
      </c>
      <c r="N13" s="17" t="e">
        <f t="shared" ca="1" si="2"/>
        <v>#DIV/0!</v>
      </c>
      <c r="O13" s="17" t="e">
        <f t="shared" ca="1" si="2"/>
        <v>#DIV/0!</v>
      </c>
      <c r="P13" s="71"/>
      <c r="Q13" s="71"/>
      <c r="R13" s="71"/>
    </row>
    <row r="14" spans="1:18" ht="43.5">
      <c r="A14" s="479" t="s">
        <v>180</v>
      </c>
      <c r="B14" s="178" t="s">
        <v>671</v>
      </c>
      <c r="C14" s="265" t="s">
        <v>27</v>
      </c>
      <c r="D14" s="270">
        <f ca="1">XIRR(F82:O82,F79:O79)</f>
        <v>2.5894527673721317</v>
      </c>
      <c r="E14" s="71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71"/>
      <c r="Q14" s="71"/>
      <c r="R14" s="71"/>
    </row>
    <row r="15" spans="1:18" ht="42.75">
      <c r="A15" s="478"/>
      <c r="B15" s="259" t="str">
        <f>CONCATENATE("PI - индекс доходности при ставке дисконтирования ",(D8*100),"%")</f>
        <v>PI - индекс доходности при ставке дисконтирования 0%</v>
      </c>
      <c r="C15" s="264" t="s">
        <v>27</v>
      </c>
      <c r="D15" s="271" t="e">
        <f ca="1">D11/-D81</f>
        <v>#DIV/0!</v>
      </c>
      <c r="E15" s="71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71"/>
      <c r="Q15" s="71"/>
      <c r="R15" s="71"/>
    </row>
    <row r="16" spans="1:18">
      <c r="A16" s="478"/>
      <c r="B16" s="183"/>
      <c r="C16" s="478"/>
      <c r="D16" s="478"/>
      <c r="E16" s="71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71"/>
      <c r="Q16" s="71"/>
      <c r="R16" s="71"/>
    </row>
    <row r="17" spans="1:30">
      <c r="A17" s="251" t="s">
        <v>761</v>
      </c>
      <c r="B17" s="92"/>
      <c r="C17" s="78"/>
      <c r="D17" s="78"/>
      <c r="E17" s="71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</row>
    <row r="19" spans="1:30">
      <c r="A19" s="71"/>
      <c r="B19" s="164"/>
      <c r="C19" s="184"/>
      <c r="D19" s="71"/>
      <c r="E19" s="71"/>
      <c r="F19" s="421" t="s">
        <v>739</v>
      </c>
      <c r="G19" s="71"/>
      <c r="H19" s="42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</row>
    <row r="20" spans="1:30">
      <c r="A20" s="71"/>
      <c r="B20" s="164"/>
      <c r="C20" s="184"/>
      <c r="D20" s="506"/>
      <c r="E20" s="417"/>
      <c r="F20" s="422" t="s">
        <v>673</v>
      </c>
      <c r="G20" s="419"/>
      <c r="H20" s="435" t="s">
        <v>676</v>
      </c>
      <c r="I20" s="137">
        <v>-0.1</v>
      </c>
      <c r="J20" s="137">
        <v>-0.05</v>
      </c>
      <c r="K20" s="137">
        <v>0</v>
      </c>
      <c r="L20" s="137">
        <v>0.05</v>
      </c>
      <c r="M20" s="137">
        <v>0.1</v>
      </c>
      <c r="N20" s="137">
        <v>0.15</v>
      </c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164"/>
      <c r="AC20" s="368"/>
      <c r="AD20" s="162"/>
    </row>
    <row r="21" spans="1:30">
      <c r="A21" s="71"/>
      <c r="B21" s="164"/>
      <c r="C21" s="184"/>
      <c r="D21" s="206"/>
      <c r="E21" s="192"/>
      <c r="F21" s="423"/>
      <c r="G21" s="419"/>
      <c r="H21" s="435" t="s">
        <v>677</v>
      </c>
      <c r="I21" s="137">
        <v>-0.1</v>
      </c>
      <c r="J21" s="137">
        <v>-0.05</v>
      </c>
      <c r="K21" s="137">
        <v>0</v>
      </c>
      <c r="L21" s="137">
        <v>0.05</v>
      </c>
      <c r="M21" s="137">
        <v>0.1</v>
      </c>
      <c r="N21" s="137">
        <v>0.15</v>
      </c>
      <c r="O21" s="244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164"/>
      <c r="AC21" s="368"/>
      <c r="AD21" s="162"/>
    </row>
    <row r="22" spans="1:30" ht="23.1" customHeight="1">
      <c r="A22" s="71"/>
      <c r="B22" s="164"/>
      <c r="C22" s="184"/>
      <c r="D22" s="507"/>
      <c r="E22" s="418" t="s">
        <v>675</v>
      </c>
      <c r="F22" s="418"/>
      <c r="G22" s="424"/>
      <c r="H22" s="418" t="s">
        <v>678</v>
      </c>
      <c r="I22" s="137">
        <v>0.1</v>
      </c>
      <c r="J22" s="137">
        <v>0.12</v>
      </c>
      <c r="K22" s="137">
        <v>0.16</v>
      </c>
      <c r="L22" s="137">
        <v>0.18</v>
      </c>
      <c r="M22" s="137">
        <v>0.2</v>
      </c>
      <c r="N22" s="137">
        <v>0.22</v>
      </c>
      <c r="O22" s="244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164"/>
      <c r="AC22" s="368"/>
      <c r="AD22" s="162"/>
    </row>
    <row r="23" spans="1:30">
      <c r="A23" s="71"/>
      <c r="B23" s="164"/>
      <c r="C23" s="184"/>
      <c r="D23" s="164"/>
      <c r="E23" s="184"/>
      <c r="F23" s="424"/>
      <c r="G23" s="424"/>
      <c r="H23" s="418" t="s">
        <v>679</v>
      </c>
      <c r="I23" s="137">
        <v>0.08</v>
      </c>
      <c r="J23" s="137">
        <v>0.1</v>
      </c>
      <c r="K23" s="137">
        <v>0.12</v>
      </c>
      <c r="L23" s="137">
        <v>0.14000000000000001</v>
      </c>
      <c r="M23" s="137">
        <v>0.16</v>
      </c>
      <c r="N23" s="137">
        <v>0.18</v>
      </c>
      <c r="O23" s="244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164"/>
      <c r="AC23" s="368"/>
      <c r="AD23" s="162"/>
    </row>
    <row r="24" spans="1:30">
      <c r="A24" s="71"/>
      <c r="B24" s="164"/>
      <c r="C24" s="184"/>
      <c r="D24" s="71"/>
      <c r="E24" s="71"/>
      <c r="F24" s="349"/>
      <c r="G24" s="349"/>
      <c r="H24" s="349"/>
      <c r="I24" s="349"/>
      <c r="J24" s="349"/>
      <c r="K24" s="349"/>
      <c r="L24" s="349"/>
      <c r="M24" s="349"/>
      <c r="N24" s="349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164"/>
      <c r="AC24" s="368"/>
      <c r="AD24" s="162"/>
    </row>
    <row r="25" spans="1:30">
      <c r="A25" s="71"/>
      <c r="B25" s="164"/>
      <c r="C25" s="184"/>
      <c r="D25" s="71"/>
      <c r="E25" s="71"/>
      <c r="F25" s="124"/>
      <c r="G25" s="425"/>
      <c r="H25" s="425" t="s">
        <v>680</v>
      </c>
      <c r="I25" s="442"/>
      <c r="J25" s="442"/>
      <c r="K25" s="442"/>
      <c r="L25" s="442"/>
      <c r="M25" s="442"/>
      <c r="N25" s="442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164"/>
      <c r="AC25" s="368"/>
      <c r="AD25" s="162"/>
    </row>
    <row r="26" spans="1:30">
      <c r="A26" s="480" t="s">
        <v>569</v>
      </c>
      <c r="B26" s="164"/>
      <c r="C26" s="184"/>
      <c r="D26" s="71"/>
      <c r="E26" s="71"/>
      <c r="F26" s="71"/>
      <c r="G26" s="433" t="str">
        <f>CONCATENATE("Возможные значения DCF 10 лет при ставке дисконт. ",(D8*100),"%")</f>
        <v>Возможные значения DCF 10 лет при ставке дисконт. 0%</v>
      </c>
      <c r="H26" s="436" t="e">
        <f ca="1">$D$11</f>
        <v>#DIV/0!</v>
      </c>
      <c r="I26" s="443">
        <f>$I$20</f>
        <v>-0.1</v>
      </c>
      <c r="J26" s="446">
        <f>$J$20</f>
        <v>-0.05</v>
      </c>
      <c r="K26" s="451">
        <f>$K$20</f>
        <v>0</v>
      </c>
      <c r="L26" s="457">
        <f>$L$20</f>
        <v>0.05</v>
      </c>
      <c r="M26" s="443">
        <f>$M$20</f>
        <v>0.1</v>
      </c>
      <c r="N26" s="443">
        <f>$N$20</f>
        <v>0.15</v>
      </c>
      <c r="O26" s="244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164"/>
      <c r="AC26" s="368"/>
      <c r="AD26" s="162"/>
    </row>
    <row r="27" spans="1:30">
      <c r="A27" s="71"/>
      <c r="B27" s="164"/>
      <c r="C27" s="184"/>
      <c r="D27" s="71"/>
      <c r="E27" s="71"/>
      <c r="F27" s="419"/>
      <c r="G27" s="434" t="s">
        <v>681</v>
      </c>
      <c r="H27" s="437">
        <f>$I$21</f>
        <v>-0.1</v>
      </c>
      <c r="I27" s="8" t="e">
        <f t="dataTable" ref="I27:N32" dt2D="1" dtr="1" r1="D6" r2="D7" ca="1"/>
        <v>#DIV/0!</v>
      </c>
      <c r="J27" s="30" t="e">
        <v>#DIV/0!</v>
      </c>
      <c r="K27" s="55" t="e">
        <v>#DIV/0!</v>
      </c>
      <c r="L27" s="32" t="e">
        <v>#DIV/0!</v>
      </c>
      <c r="M27" s="39" t="e">
        <v>#DIV/0!</v>
      </c>
      <c r="N27" s="39" t="e">
        <v>#DIV/0!</v>
      </c>
      <c r="O27" s="349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164"/>
      <c r="AC27" s="368"/>
      <c r="AD27" s="162"/>
    </row>
    <row r="28" spans="1:30">
      <c r="A28" s="71"/>
      <c r="B28" s="164"/>
      <c r="C28" s="184"/>
      <c r="D28" s="71"/>
      <c r="E28" s="71"/>
      <c r="F28" s="124"/>
      <c r="G28" s="419"/>
      <c r="H28" s="438">
        <f>$J$21</f>
        <v>-0.05</v>
      </c>
      <c r="I28" s="15" t="e">
        <v>#DIV/0!</v>
      </c>
      <c r="J28" s="59" t="e">
        <v>#DIV/0!</v>
      </c>
      <c r="K28" s="56" t="e">
        <v>#DIV/0!</v>
      </c>
      <c r="L28" s="60" t="e">
        <v>#DIV/0!</v>
      </c>
      <c r="M28" s="61" t="e">
        <v>#DIV/0!</v>
      </c>
      <c r="N28" s="61" t="e">
        <v>#DIV/0!</v>
      </c>
      <c r="O28" s="349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</row>
    <row r="29" spans="1:30">
      <c r="A29" s="71"/>
      <c r="B29" s="164"/>
      <c r="C29" s="184"/>
      <c r="D29" s="71"/>
      <c r="E29" s="71"/>
      <c r="F29" s="124"/>
      <c r="G29" s="419"/>
      <c r="H29" s="439">
        <f>$K$21</f>
        <v>0</v>
      </c>
      <c r="I29" s="63" t="e">
        <v>#DIV/0!</v>
      </c>
      <c r="J29" s="64" t="e">
        <v>#DIV/0!</v>
      </c>
      <c r="K29" s="65" t="e">
        <v>#DIV/0!</v>
      </c>
      <c r="L29" s="66" t="e">
        <v>#DIV/0!</v>
      </c>
      <c r="M29" s="67" t="e">
        <v>#DIV/0!</v>
      </c>
      <c r="N29" s="68" t="e">
        <v>#DIV/0!</v>
      </c>
      <c r="O29" s="349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</row>
    <row r="30" spans="1:30">
      <c r="A30" s="71"/>
      <c r="B30" s="164"/>
      <c r="C30" s="184"/>
      <c r="D30" s="71"/>
      <c r="E30" s="71"/>
      <c r="F30" s="124"/>
      <c r="G30" s="419"/>
      <c r="H30" s="440">
        <f>$L$21</f>
        <v>0.05</v>
      </c>
      <c r="I30" s="29" t="e">
        <v>#DIV/0!</v>
      </c>
      <c r="J30" s="31" t="e">
        <v>#DIV/0!</v>
      </c>
      <c r="K30" s="57" t="e">
        <v>#DIV/0!</v>
      </c>
      <c r="L30" s="33" t="e">
        <v>#DIV/0!</v>
      </c>
      <c r="M30" s="62" t="e">
        <v>#DIV/0!</v>
      </c>
      <c r="N30" s="62" t="e">
        <v>#DIV/0!</v>
      </c>
      <c r="O30" s="349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</row>
    <row r="31" spans="1:30">
      <c r="A31" s="71"/>
      <c r="B31" s="164"/>
      <c r="C31" s="184"/>
      <c r="D31" s="71"/>
      <c r="E31" s="71"/>
      <c r="F31" s="124"/>
      <c r="G31" s="419"/>
      <c r="H31" s="437">
        <f>$M$21</f>
        <v>0.1</v>
      </c>
      <c r="I31" s="8" t="e">
        <v>#DIV/0!</v>
      </c>
      <c r="J31" s="30" t="e">
        <v>#DIV/0!</v>
      </c>
      <c r="K31" s="55" t="e">
        <v>#DIV/0!</v>
      </c>
      <c r="L31" s="32" t="e">
        <v>#DIV/0!</v>
      </c>
      <c r="M31" s="39" t="e">
        <v>#DIV/0!</v>
      </c>
      <c r="N31" s="39" t="e">
        <v>#DIV/0!</v>
      </c>
      <c r="O31" s="349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</row>
    <row r="32" spans="1:30">
      <c r="A32" s="71"/>
      <c r="B32" s="164"/>
      <c r="C32" s="184"/>
      <c r="D32" s="71"/>
      <c r="E32" s="71"/>
      <c r="F32" s="124"/>
      <c r="G32" s="419"/>
      <c r="H32" s="437">
        <f>$N$21</f>
        <v>0.15</v>
      </c>
      <c r="I32" s="8" t="e">
        <v>#DIV/0!</v>
      </c>
      <c r="J32" s="30" t="e">
        <v>#DIV/0!</v>
      </c>
      <c r="K32" s="58" t="e">
        <v>#DIV/0!</v>
      </c>
      <c r="L32" s="32" t="e">
        <v>#DIV/0!</v>
      </c>
      <c r="M32" s="39" t="e">
        <v>#DIV/0!</v>
      </c>
      <c r="N32" s="39" t="e">
        <v>#DIV/0!</v>
      </c>
      <c r="O32" s="349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</row>
    <row r="33" spans="1:15">
      <c r="A33" s="71"/>
      <c r="B33" s="164"/>
      <c r="C33" s="184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349"/>
    </row>
    <row r="34" spans="1:15">
      <c r="A34" s="71"/>
      <c r="B34" s="164"/>
      <c r="C34" s="184"/>
      <c r="D34" s="71"/>
      <c r="E34" s="71"/>
      <c r="F34" s="425"/>
      <c r="G34" s="425"/>
      <c r="H34" s="425" t="s">
        <v>680</v>
      </c>
      <c r="I34" s="442"/>
      <c r="J34" s="442"/>
      <c r="K34" s="442"/>
      <c r="L34" s="442"/>
      <c r="M34" s="442"/>
      <c r="N34" s="442"/>
      <c r="O34" s="349"/>
    </row>
    <row r="35" spans="1:15">
      <c r="A35" s="480" t="s">
        <v>569</v>
      </c>
      <c r="B35" s="164"/>
      <c r="C35" s="184"/>
      <c r="D35" s="71"/>
      <c r="E35" s="71"/>
      <c r="F35" s="71"/>
      <c r="G35" s="433" t="s">
        <v>682</v>
      </c>
      <c r="H35" s="441">
        <f ca="1">$D$14</f>
        <v>2.5894527673721317</v>
      </c>
      <c r="I35" s="443">
        <f>$I$20</f>
        <v>-0.1</v>
      </c>
      <c r="J35" s="446">
        <f>$J$20</f>
        <v>-0.05</v>
      </c>
      <c r="K35" s="451">
        <f>$K$20</f>
        <v>0</v>
      </c>
      <c r="L35" s="457">
        <f>$L$20</f>
        <v>0.05</v>
      </c>
      <c r="M35" s="443">
        <f>$M$20</f>
        <v>0.1</v>
      </c>
      <c r="N35" s="443">
        <f>$N$20</f>
        <v>0.15</v>
      </c>
      <c r="O35" s="349"/>
    </row>
    <row r="36" spans="1:15">
      <c r="A36" s="71"/>
      <c r="B36" s="164"/>
      <c r="C36" s="184"/>
      <c r="D36" s="419"/>
      <c r="E36" s="419"/>
      <c r="F36" s="419"/>
      <c r="G36" s="434" t="s">
        <v>681</v>
      </c>
      <c r="H36" s="437">
        <f>$I$21</f>
        <v>-0.1</v>
      </c>
      <c r="I36" s="10">
        <f t="dataTable" ref="I36:N41" dt2D="1" dtr="1" r1="D6" r2="D7" ca="1"/>
        <v>2.6000371694564826</v>
      </c>
      <c r="J36" s="36" t="e">
        <v>#NUM!</v>
      </c>
      <c r="K36" s="50" t="e">
        <v>#NUM!</v>
      </c>
      <c r="L36" s="35" t="e">
        <v>#NUM!</v>
      </c>
      <c r="M36" s="40" t="e">
        <v>#NUM!</v>
      </c>
      <c r="N36" s="40" t="e">
        <v>#NUM!</v>
      </c>
      <c r="O36" s="349"/>
    </row>
    <row r="37" spans="1:15">
      <c r="A37" s="71"/>
      <c r="B37" s="164"/>
      <c r="C37" s="184"/>
      <c r="D37" s="71"/>
      <c r="E37" s="71"/>
      <c r="F37" s="124"/>
      <c r="G37" s="419"/>
      <c r="H37" s="438">
        <f>$J$21</f>
        <v>-0.05</v>
      </c>
      <c r="I37" s="12">
        <v>0.28297069668769836</v>
      </c>
      <c r="J37" s="46">
        <v>2.5944556951522828</v>
      </c>
      <c r="K37" s="51" t="e">
        <v>#NUM!</v>
      </c>
      <c r="L37" s="48" t="e">
        <v>#NUM!</v>
      </c>
      <c r="M37" s="41" t="e">
        <v>#NUM!</v>
      </c>
      <c r="N37" s="41" t="e">
        <v>#NUM!</v>
      </c>
      <c r="O37" s="349"/>
    </row>
    <row r="38" spans="1:15">
      <c r="A38" s="71"/>
      <c r="B38" s="164"/>
      <c r="C38" s="184"/>
      <c r="D38" s="71"/>
      <c r="E38" s="71"/>
      <c r="F38" s="124"/>
      <c r="G38" s="419"/>
      <c r="H38" s="439">
        <f>$K$21</f>
        <v>0</v>
      </c>
      <c r="I38" s="43">
        <v>2.9802322387695314E-9</v>
      </c>
      <c r="J38" s="47">
        <v>0.32237985730171215</v>
      </c>
      <c r="K38" s="52">
        <v>2.5894527673721317</v>
      </c>
      <c r="L38" s="49" t="e">
        <v>#NUM!</v>
      </c>
      <c r="M38" s="44" t="e">
        <v>#NUM!</v>
      </c>
      <c r="N38" s="45" t="e">
        <v>#NUM!</v>
      </c>
      <c r="O38" s="349"/>
    </row>
    <row r="39" spans="1:15">
      <c r="A39" s="71"/>
      <c r="B39" s="164"/>
      <c r="C39" s="184"/>
      <c r="D39" s="71"/>
      <c r="E39" s="71"/>
      <c r="F39" s="124"/>
      <c r="G39" s="419"/>
      <c r="H39" s="440">
        <f>$L$21</f>
        <v>0.05</v>
      </c>
      <c r="I39" s="34" t="e">
        <v>#NUM!</v>
      </c>
      <c r="J39" s="37">
        <v>2.9802322387695314E-9</v>
      </c>
      <c r="K39" s="53">
        <v>0.35900728106498725</v>
      </c>
      <c r="L39" s="38">
        <v>2.584942841529847</v>
      </c>
      <c r="M39" s="42" t="e">
        <v>#NUM!</v>
      </c>
      <c r="N39" s="42" t="e">
        <v>#NUM!</v>
      </c>
      <c r="O39" s="349"/>
    </row>
    <row r="40" spans="1:15">
      <c r="A40" s="71"/>
      <c r="B40" s="164"/>
      <c r="C40" s="184"/>
      <c r="D40" s="71"/>
      <c r="E40" s="71"/>
      <c r="F40" s="124"/>
      <c r="G40" s="419"/>
      <c r="H40" s="437">
        <f>$M$21</f>
        <v>0.1</v>
      </c>
      <c r="I40" s="10" t="e">
        <v>#NUM!</v>
      </c>
      <c r="J40" s="36" t="e">
        <v>#NUM!</v>
      </c>
      <c r="K40" s="50">
        <v>2.9802322387695314E-9</v>
      </c>
      <c r="L40" s="35">
        <v>0.39334319233894355</v>
      </c>
      <c r="M40" s="40">
        <v>2.580856490135194</v>
      </c>
      <c r="N40" s="40" t="e">
        <v>#NUM!</v>
      </c>
      <c r="O40" s="349"/>
    </row>
    <row r="41" spans="1:15">
      <c r="A41" s="71"/>
      <c r="B41" s="164"/>
      <c r="C41" s="184"/>
      <c r="D41" s="71"/>
      <c r="E41" s="71"/>
      <c r="F41" s="124"/>
      <c r="G41" s="419"/>
      <c r="H41" s="437">
        <f>$N$21</f>
        <v>0.15</v>
      </c>
      <c r="I41" s="10" t="e">
        <v>#NUM!</v>
      </c>
      <c r="J41" s="36" t="e">
        <v>#NUM!</v>
      </c>
      <c r="K41" s="54" t="e">
        <v>#NUM!</v>
      </c>
      <c r="L41" s="35">
        <v>2.9802322387695314E-9</v>
      </c>
      <c r="M41" s="40">
        <v>0.42574422955513003</v>
      </c>
      <c r="N41" s="40">
        <v>2.5771367311477671</v>
      </c>
      <c r="O41" s="349"/>
    </row>
    <row r="42" spans="1:15">
      <c r="A42" s="71"/>
      <c r="B42" s="164"/>
      <c r="C42" s="184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349"/>
    </row>
    <row r="43" spans="1:15">
      <c r="A43" s="71"/>
      <c r="B43" s="164"/>
      <c r="C43" s="184"/>
      <c r="D43" s="71"/>
      <c r="E43" s="71"/>
      <c r="F43" s="425"/>
      <c r="G43" s="425"/>
      <c r="H43" s="425" t="s">
        <v>680</v>
      </c>
      <c r="I43" s="442"/>
      <c r="J43" s="442"/>
      <c r="K43" s="442"/>
      <c r="L43" s="442"/>
      <c r="M43" s="442"/>
      <c r="N43" s="442"/>
      <c r="O43" s="349"/>
    </row>
    <row r="44" spans="1:15">
      <c r="A44" s="480" t="s">
        <v>569</v>
      </c>
      <c r="B44" s="164"/>
      <c r="C44" s="184"/>
      <c r="D44" s="71"/>
      <c r="E44" s="71"/>
      <c r="F44" s="71"/>
      <c r="G44" s="433" t="s">
        <v>674</v>
      </c>
      <c r="H44" s="436">
        <f ca="1">$D$112</f>
        <v>157817.12093149344</v>
      </c>
      <c r="I44" s="443">
        <f>$I$20</f>
        <v>-0.1</v>
      </c>
      <c r="J44" s="446">
        <f>$J$20</f>
        <v>-0.05</v>
      </c>
      <c r="K44" s="451">
        <f>$K$20</f>
        <v>0</v>
      </c>
      <c r="L44" s="457">
        <f>$L$20</f>
        <v>0.05</v>
      </c>
      <c r="M44" s="443">
        <f>$M$20</f>
        <v>0.1</v>
      </c>
      <c r="N44" s="443">
        <f>$N$20</f>
        <v>0.15</v>
      </c>
      <c r="O44" s="349"/>
    </row>
    <row r="45" spans="1:15">
      <c r="A45" s="71"/>
      <c r="B45" s="164"/>
      <c r="C45" s="184"/>
      <c r="D45" s="419"/>
      <c r="E45" s="419"/>
      <c r="F45" s="419"/>
      <c r="G45" s="434" t="s">
        <v>681</v>
      </c>
      <c r="H45" s="437">
        <v>-0.1</v>
      </c>
      <c r="I45" s="226">
        <v>296699.80143591005</v>
      </c>
      <c r="J45" s="447">
        <v>341597.07106901624</v>
      </c>
      <c r="K45" s="452">
        <v>386494.34070212243</v>
      </c>
      <c r="L45" s="458">
        <v>431391.61033522867</v>
      </c>
      <c r="M45" s="462">
        <v>476288.87996833492</v>
      </c>
      <c r="N45" s="462">
        <v>521186.14960144088</v>
      </c>
      <c r="O45" s="349"/>
    </row>
    <row r="46" spans="1:15">
      <c r="A46" s="71"/>
      <c r="B46" s="164"/>
      <c r="C46" s="184"/>
      <c r="D46" s="71"/>
      <c r="E46" s="71"/>
      <c r="F46" s="124"/>
      <c r="G46" s="419"/>
      <c r="H46" s="438">
        <v>-0.05</v>
      </c>
      <c r="I46" s="352">
        <v>271770.63535479899</v>
      </c>
      <c r="J46" s="448">
        <v>316667.90498790523</v>
      </c>
      <c r="K46" s="453">
        <v>361565.17462101136</v>
      </c>
      <c r="L46" s="459">
        <v>406462.44425411761</v>
      </c>
      <c r="M46" s="463">
        <v>451359.7138872238</v>
      </c>
      <c r="N46" s="463">
        <v>496256.98352032981</v>
      </c>
      <c r="O46" s="349"/>
    </row>
    <row r="47" spans="1:15">
      <c r="A47" s="71"/>
      <c r="B47" s="164"/>
      <c r="C47" s="184"/>
      <c r="D47" s="71"/>
      <c r="E47" s="71"/>
      <c r="F47" s="124"/>
      <c r="G47" s="419"/>
      <c r="H47" s="439">
        <v>0</v>
      </c>
      <c r="I47" s="444">
        <v>246841.46927368775</v>
      </c>
      <c r="J47" s="449">
        <v>291738.73890679399</v>
      </c>
      <c r="K47" s="454">
        <v>336636.00853990024</v>
      </c>
      <c r="L47" s="460">
        <v>381533.27817300649</v>
      </c>
      <c r="M47" s="464">
        <v>426430.54780611274</v>
      </c>
      <c r="N47" s="466">
        <v>471327.81743921881</v>
      </c>
      <c r="O47" s="349"/>
    </row>
    <row r="48" spans="1:15">
      <c r="A48" s="71"/>
      <c r="B48" s="164"/>
      <c r="C48" s="184"/>
      <c r="D48" s="71"/>
      <c r="E48" s="71"/>
      <c r="F48" s="124"/>
      <c r="G48" s="419"/>
      <c r="H48" s="440">
        <v>0.05</v>
      </c>
      <c r="I48" s="445">
        <v>221912.3031925766</v>
      </c>
      <c r="J48" s="450">
        <v>266809.57282568282</v>
      </c>
      <c r="K48" s="455">
        <v>311706.84245878906</v>
      </c>
      <c r="L48" s="461">
        <v>356604.11209189531</v>
      </c>
      <c r="M48" s="465">
        <v>401501.3817250015</v>
      </c>
      <c r="N48" s="465">
        <v>446398.65135810757</v>
      </c>
      <c r="O48" s="349"/>
    </row>
    <row r="49" spans="1:15">
      <c r="A49" s="71"/>
      <c r="B49" s="164"/>
      <c r="C49" s="184"/>
      <c r="D49" s="71"/>
      <c r="E49" s="71"/>
      <c r="F49" s="124"/>
      <c r="G49" s="419"/>
      <c r="H49" s="437">
        <v>0.1</v>
      </c>
      <c r="I49" s="226">
        <v>196983.13711146545</v>
      </c>
      <c r="J49" s="447">
        <v>241880.40674457166</v>
      </c>
      <c r="K49" s="452">
        <v>286777.67637767788</v>
      </c>
      <c r="L49" s="458">
        <v>331674.94601078413</v>
      </c>
      <c r="M49" s="462">
        <v>376572.21564389032</v>
      </c>
      <c r="N49" s="462">
        <v>421469.48527699633</v>
      </c>
      <c r="O49" s="349"/>
    </row>
    <row r="50" spans="1:15">
      <c r="A50" s="71"/>
      <c r="B50" s="164"/>
      <c r="C50" s="184"/>
      <c r="D50" s="71"/>
      <c r="E50" s="71"/>
      <c r="F50" s="124"/>
      <c r="G50" s="419"/>
      <c r="H50" s="437">
        <v>0.15</v>
      </c>
      <c r="I50" s="226">
        <v>172053.97103035444</v>
      </c>
      <c r="J50" s="447">
        <v>216951.24066346069</v>
      </c>
      <c r="K50" s="456">
        <v>261848.51029656691</v>
      </c>
      <c r="L50" s="458">
        <v>306745.77992967312</v>
      </c>
      <c r="M50" s="462">
        <v>351643.04956277937</v>
      </c>
      <c r="N50" s="462">
        <v>396540.31919588533</v>
      </c>
      <c r="O50" s="349"/>
    </row>
    <row r="51" spans="1:15">
      <c r="A51" s="71"/>
      <c r="B51" s="164"/>
      <c r="C51" s="184"/>
      <c r="D51" s="71"/>
      <c r="E51" s="71"/>
      <c r="F51" s="349"/>
      <c r="G51" s="349"/>
      <c r="H51" s="349"/>
      <c r="I51" s="349"/>
      <c r="J51" s="349"/>
      <c r="K51" s="349"/>
      <c r="L51" s="349"/>
      <c r="M51" s="349"/>
      <c r="N51" s="349"/>
      <c r="O51" s="349"/>
    </row>
    <row r="52" spans="1:15">
      <c r="A52" s="71"/>
      <c r="B52" s="164"/>
      <c r="C52" s="184"/>
      <c r="D52" s="71"/>
      <c r="E52" s="71"/>
      <c r="F52" s="425"/>
      <c r="G52" s="425"/>
      <c r="H52" s="425" t="s">
        <v>680</v>
      </c>
      <c r="I52" s="442"/>
      <c r="J52" s="442"/>
      <c r="K52" s="442"/>
      <c r="L52" s="442"/>
      <c r="M52" s="442"/>
      <c r="N52" s="442"/>
      <c r="O52" s="349"/>
    </row>
    <row r="53" spans="1:15">
      <c r="A53" s="480" t="s">
        <v>569</v>
      </c>
      <c r="B53" s="164"/>
      <c r="C53" s="184"/>
      <c r="D53" s="71"/>
      <c r="E53" s="71"/>
      <c r="F53" s="71"/>
      <c r="G53" s="433" t="s">
        <v>674</v>
      </c>
      <c r="H53" s="436">
        <f ca="1">$D$112</f>
        <v>157817.12093149344</v>
      </c>
      <c r="I53" s="443">
        <f>$I$20</f>
        <v>-0.1</v>
      </c>
      <c r="J53" s="446">
        <f>$J$20</f>
        <v>-0.05</v>
      </c>
      <c r="K53" s="451">
        <f>$K$20</f>
        <v>0</v>
      </c>
      <c r="L53" s="457">
        <f>$L$20</f>
        <v>0.05</v>
      </c>
      <c r="M53" s="443">
        <f>$M$20</f>
        <v>0.1</v>
      </c>
      <c r="N53" s="443">
        <f>$N$20</f>
        <v>0.15</v>
      </c>
      <c r="O53" s="349"/>
    </row>
    <row r="54" spans="1:15">
      <c r="A54" s="71"/>
      <c r="B54" s="164"/>
      <c r="C54" s="184"/>
      <c r="D54" s="419"/>
      <c r="E54" s="419"/>
      <c r="F54" s="419"/>
      <c r="G54" s="434" t="s">
        <v>683</v>
      </c>
      <c r="H54" s="437">
        <f>$I$23</f>
        <v>0.08</v>
      </c>
      <c r="I54" s="8">
        <f t="dataTable" ref="I54:N59" dt2D="1" dtr="1" r1="D6" r2="D9" ca="1"/>
        <v>6955.9916931591688</v>
      </c>
      <c r="J54" s="30">
        <v>82386.55631232608</v>
      </c>
      <c r="K54" s="55">
        <v>157817.12093149344</v>
      </c>
      <c r="L54" s="32">
        <v>233247.68555066056</v>
      </c>
      <c r="M54" s="39">
        <v>308678.25016982789</v>
      </c>
      <c r="N54" s="39">
        <v>384108.81478899432</v>
      </c>
      <c r="O54" s="349"/>
    </row>
    <row r="55" spans="1:15">
      <c r="A55" s="71"/>
      <c r="B55" s="164"/>
      <c r="C55" s="184"/>
      <c r="D55" s="71"/>
      <c r="E55" s="71"/>
      <c r="F55" s="124"/>
      <c r="G55" s="419"/>
      <c r="H55" s="438">
        <f>$J$23</f>
        <v>0.1</v>
      </c>
      <c r="I55" s="15">
        <v>6955.9916931591688</v>
      </c>
      <c r="J55" s="59">
        <v>82386.55631232608</v>
      </c>
      <c r="K55" s="56">
        <v>157817.12093149344</v>
      </c>
      <c r="L55" s="60">
        <v>233247.68555066056</v>
      </c>
      <c r="M55" s="61">
        <v>308678.25016982789</v>
      </c>
      <c r="N55" s="61">
        <v>384108.81478899432</v>
      </c>
      <c r="O55" s="349"/>
    </row>
    <row r="56" spans="1:15">
      <c r="A56" s="71"/>
      <c r="B56" s="164"/>
      <c r="C56" s="184"/>
      <c r="D56" s="71"/>
      <c r="E56" s="71"/>
      <c r="F56" s="124"/>
      <c r="G56" s="419"/>
      <c r="H56" s="438">
        <f>$K$23</f>
        <v>0.12</v>
      </c>
      <c r="I56" s="63">
        <v>6955.9916931591688</v>
      </c>
      <c r="J56" s="64">
        <v>82386.55631232608</v>
      </c>
      <c r="K56" s="65">
        <v>157817.12093149344</v>
      </c>
      <c r="L56" s="66">
        <v>233247.68555066056</v>
      </c>
      <c r="M56" s="67">
        <v>308678.25016982789</v>
      </c>
      <c r="N56" s="68">
        <v>384108.81478899432</v>
      </c>
      <c r="O56" s="349"/>
    </row>
    <row r="57" spans="1:15">
      <c r="A57" s="71"/>
      <c r="B57" s="164"/>
      <c r="C57" s="184"/>
      <c r="D57" s="71"/>
      <c r="E57" s="71"/>
      <c r="F57" s="124"/>
      <c r="G57" s="419"/>
      <c r="H57" s="440">
        <f>$L$23</f>
        <v>0.14000000000000001</v>
      </c>
      <c r="I57" s="29">
        <v>6955.9916931591688</v>
      </c>
      <c r="J57" s="31">
        <v>82386.55631232608</v>
      </c>
      <c r="K57" s="57">
        <v>157817.12093149344</v>
      </c>
      <c r="L57" s="33">
        <v>233247.68555066056</v>
      </c>
      <c r="M57" s="62">
        <v>308678.25016982789</v>
      </c>
      <c r="N57" s="62">
        <v>384108.81478899432</v>
      </c>
      <c r="O57" s="349"/>
    </row>
    <row r="58" spans="1:15">
      <c r="A58" s="71"/>
      <c r="B58" s="164"/>
      <c r="C58" s="184"/>
      <c r="D58" s="71"/>
      <c r="E58" s="71"/>
      <c r="F58" s="124"/>
      <c r="G58" s="419"/>
      <c r="H58" s="437">
        <f>$M$23</f>
        <v>0.16</v>
      </c>
      <c r="I58" s="8">
        <v>6955.9916931591688</v>
      </c>
      <c r="J58" s="30">
        <v>82386.55631232608</v>
      </c>
      <c r="K58" s="55">
        <v>157817.12093149344</v>
      </c>
      <c r="L58" s="32">
        <v>233247.68555066056</v>
      </c>
      <c r="M58" s="39">
        <v>308678.25016982789</v>
      </c>
      <c r="N58" s="39">
        <v>384108.81478899432</v>
      </c>
      <c r="O58" s="349"/>
    </row>
    <row r="59" spans="1:15">
      <c r="A59" s="71"/>
      <c r="B59" s="164"/>
      <c r="C59" s="184"/>
      <c r="D59" s="71"/>
      <c r="E59" s="71"/>
      <c r="F59" s="124"/>
      <c r="G59" s="419"/>
      <c r="H59" s="437">
        <f>$N$23</f>
        <v>0.18</v>
      </c>
      <c r="I59" s="8">
        <v>6955.9916931591688</v>
      </c>
      <c r="J59" s="30">
        <v>82386.55631232608</v>
      </c>
      <c r="K59" s="58">
        <v>157817.12093149344</v>
      </c>
      <c r="L59" s="32">
        <v>233247.68555066056</v>
      </c>
      <c r="M59" s="39">
        <v>308678.25016982789</v>
      </c>
      <c r="N59" s="39">
        <v>384108.81478899432</v>
      </c>
      <c r="O59" s="349"/>
    </row>
    <row r="60" spans="1:15">
      <c r="A60" s="71"/>
      <c r="B60" s="164"/>
      <c r="C60" s="184"/>
      <c r="D60" s="71"/>
      <c r="E60" s="71"/>
      <c r="F60" s="349"/>
      <c r="G60" s="349"/>
      <c r="H60" s="349"/>
      <c r="I60" s="349"/>
      <c r="J60" s="349"/>
      <c r="K60" s="349"/>
      <c r="L60" s="349"/>
      <c r="M60" s="349"/>
      <c r="N60" s="349"/>
      <c r="O60" s="349"/>
    </row>
    <row r="61" spans="1:15">
      <c r="A61" s="71"/>
      <c r="B61" s="164"/>
      <c r="C61" s="184"/>
      <c r="D61" s="71"/>
      <c r="E61" s="71"/>
      <c r="F61" s="425"/>
      <c r="G61" s="425"/>
      <c r="H61" s="425" t="s">
        <v>683</v>
      </c>
      <c r="I61" s="442"/>
      <c r="J61" s="442"/>
      <c r="K61" s="442"/>
      <c r="L61" s="442"/>
      <c r="M61" s="442"/>
      <c r="N61" s="442"/>
      <c r="O61" s="349"/>
    </row>
    <row r="62" spans="1:15">
      <c r="A62" s="480" t="s">
        <v>569</v>
      </c>
      <c r="B62" s="164"/>
      <c r="C62" s="184"/>
      <c r="D62" s="71"/>
      <c r="E62" s="71"/>
      <c r="F62" s="71"/>
      <c r="G62" s="433" t="s">
        <v>674</v>
      </c>
      <c r="H62" s="436">
        <f ca="1">$D$112</f>
        <v>157817.12093149344</v>
      </c>
      <c r="I62" s="443">
        <f>$I$23</f>
        <v>0.08</v>
      </c>
      <c r="J62" s="443">
        <f>$J$23</f>
        <v>0.1</v>
      </c>
      <c r="K62" s="443">
        <f>$K$23</f>
        <v>0.12</v>
      </c>
      <c r="L62" s="443">
        <f>$L$23</f>
        <v>0.14000000000000001</v>
      </c>
      <c r="M62" s="443">
        <f>$M$23</f>
        <v>0.16</v>
      </c>
      <c r="N62" s="443">
        <f>$N$23</f>
        <v>0.18</v>
      </c>
      <c r="O62" s="349"/>
    </row>
    <row r="63" spans="1:15">
      <c r="A63" s="71"/>
      <c r="B63" s="164"/>
      <c r="C63" s="184"/>
      <c r="D63" s="419"/>
      <c r="E63" s="419"/>
      <c r="F63" s="419"/>
      <c r="G63" s="434" t="s">
        <v>681</v>
      </c>
      <c r="H63" s="437">
        <v>-0.1</v>
      </c>
      <c r="I63" s="8">
        <f t="dataTable" ref="I63:N68" dt2D="1" dtr="1" r1="D9" r2="D7" ca="1"/>
        <v>290164.33620639925</v>
      </c>
      <c r="J63" s="30">
        <v>290164.33620639925</v>
      </c>
      <c r="K63" s="55">
        <v>290164.33620639925</v>
      </c>
      <c r="L63" s="32">
        <v>290164.33620639925</v>
      </c>
      <c r="M63" s="39">
        <v>290164.33620639925</v>
      </c>
      <c r="N63" s="39">
        <v>290164.33620639925</v>
      </c>
      <c r="O63" s="349"/>
    </row>
    <row r="64" spans="1:15">
      <c r="A64" s="71"/>
      <c r="B64" s="164"/>
      <c r="C64" s="184"/>
      <c r="D64" s="71"/>
      <c r="E64" s="71"/>
      <c r="F64" s="124"/>
      <c r="G64" s="419"/>
      <c r="H64" s="438">
        <v>-0.05</v>
      </c>
      <c r="I64" s="15">
        <v>223990.72856894654</v>
      </c>
      <c r="J64" s="59">
        <v>223990.72856894654</v>
      </c>
      <c r="K64" s="56">
        <v>223990.72856894654</v>
      </c>
      <c r="L64" s="60">
        <v>223990.72856894654</v>
      </c>
      <c r="M64" s="61">
        <v>223990.72856894654</v>
      </c>
      <c r="N64" s="61">
        <v>223990.72856894654</v>
      </c>
      <c r="O64" s="349"/>
    </row>
    <row r="65" spans="1:23">
      <c r="A65" s="71"/>
      <c r="B65" s="164"/>
      <c r="C65" s="184"/>
      <c r="D65" s="71"/>
      <c r="E65" s="71"/>
      <c r="F65" s="124"/>
      <c r="G65" s="419"/>
      <c r="H65" s="439">
        <v>0</v>
      </c>
      <c r="I65" s="63">
        <v>157817.12093149344</v>
      </c>
      <c r="J65" s="64">
        <v>157817.12093149344</v>
      </c>
      <c r="K65" s="65">
        <v>157817.12093149344</v>
      </c>
      <c r="L65" s="66">
        <v>157817.12093149344</v>
      </c>
      <c r="M65" s="67">
        <v>157817.12093149344</v>
      </c>
      <c r="N65" s="68">
        <v>157817.12093149344</v>
      </c>
      <c r="O65" s="349"/>
      <c r="P65" s="71"/>
      <c r="Q65" s="71"/>
      <c r="R65" s="71"/>
      <c r="S65" s="71"/>
      <c r="T65" s="71"/>
      <c r="U65" s="71"/>
      <c r="V65" s="71"/>
      <c r="W65" s="71"/>
    </row>
    <row r="66" spans="1:23">
      <c r="A66" s="71"/>
      <c r="B66" s="164"/>
      <c r="C66" s="184"/>
      <c r="D66" s="71"/>
      <c r="E66" s="71"/>
      <c r="F66" s="124"/>
      <c r="G66" s="419"/>
      <c r="H66" s="440">
        <v>0.05</v>
      </c>
      <c r="I66" s="29">
        <v>91643.513294040386</v>
      </c>
      <c r="J66" s="31">
        <v>91643.513294040386</v>
      </c>
      <c r="K66" s="57">
        <v>91643.513294040386</v>
      </c>
      <c r="L66" s="33">
        <v>91643.513294040386</v>
      </c>
      <c r="M66" s="62">
        <v>91643.513294040386</v>
      </c>
      <c r="N66" s="62">
        <v>91643.513294040386</v>
      </c>
      <c r="O66" s="349"/>
      <c r="P66" s="71"/>
      <c r="Q66" s="71"/>
      <c r="R66" s="71"/>
      <c r="S66" s="71"/>
      <c r="T66" s="71"/>
      <c r="U66" s="71"/>
      <c r="V66" s="71"/>
      <c r="W66" s="71"/>
    </row>
    <row r="67" spans="1:23">
      <c r="A67" s="71"/>
      <c r="B67" s="164"/>
      <c r="C67" s="184"/>
      <c r="D67" s="71"/>
      <c r="E67" s="71"/>
      <c r="F67" s="124"/>
      <c r="G67" s="419"/>
      <c r="H67" s="437">
        <v>0.1</v>
      </c>
      <c r="I67" s="8">
        <v>25469.905656587915</v>
      </c>
      <c r="J67" s="30">
        <v>25469.905656587915</v>
      </c>
      <c r="K67" s="55">
        <v>25469.905656587915</v>
      </c>
      <c r="L67" s="32">
        <v>25469.905656587915</v>
      </c>
      <c r="M67" s="39">
        <v>25469.905656587915</v>
      </c>
      <c r="N67" s="39">
        <v>25469.905656587915</v>
      </c>
      <c r="O67" s="349"/>
      <c r="P67" s="71"/>
      <c r="Q67" s="71"/>
      <c r="R67" s="71"/>
      <c r="S67" s="71"/>
      <c r="T67" s="71"/>
      <c r="U67" s="71"/>
      <c r="V67" s="71"/>
      <c r="W67" s="71"/>
    </row>
    <row r="68" spans="1:23">
      <c r="A68" s="71"/>
      <c r="B68" s="164"/>
      <c r="C68" s="184"/>
      <c r="D68" s="71"/>
      <c r="E68" s="71"/>
      <c r="F68" s="124"/>
      <c r="G68" s="419"/>
      <c r="H68" s="437">
        <v>0.15</v>
      </c>
      <c r="I68" s="8">
        <v>-40703.701980865204</v>
      </c>
      <c r="J68" s="30">
        <v>-40703.701980865204</v>
      </c>
      <c r="K68" s="58">
        <v>-40703.701980865204</v>
      </c>
      <c r="L68" s="32">
        <v>-40703.701980865204</v>
      </c>
      <c r="M68" s="39">
        <v>-40703.701980865204</v>
      </c>
      <c r="N68" s="39">
        <v>-40703.701980865204</v>
      </c>
      <c r="O68" s="349"/>
      <c r="P68" s="71"/>
      <c r="Q68" s="71"/>
      <c r="R68" s="71"/>
      <c r="S68" s="71"/>
      <c r="T68" s="71"/>
      <c r="U68" s="71"/>
      <c r="V68" s="71"/>
      <c r="W68" s="71"/>
    </row>
    <row r="69" spans="1:23">
      <c r="A69" s="71"/>
      <c r="B69" s="164"/>
      <c r="C69" s="184"/>
      <c r="D69" s="71"/>
      <c r="E69" s="71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71"/>
      <c r="Q69" s="71"/>
      <c r="R69" s="71"/>
      <c r="S69" s="71"/>
      <c r="T69" s="71"/>
      <c r="U69" s="71"/>
      <c r="V69" s="71"/>
      <c r="W69" s="71"/>
    </row>
    <row r="70" spans="1:23" ht="15.75" thickBot="1">
      <c r="A70" s="376"/>
      <c r="B70" s="487"/>
      <c r="C70" s="500"/>
      <c r="D70" s="376"/>
      <c r="E70" s="71"/>
      <c r="F70" s="426"/>
      <c r="G70" s="426"/>
      <c r="H70" s="426"/>
      <c r="I70" s="426"/>
      <c r="J70" s="426"/>
      <c r="K70" s="426"/>
      <c r="L70" s="426"/>
      <c r="M70" s="426"/>
      <c r="N70" s="426"/>
      <c r="O70" s="426"/>
      <c r="P70" s="71"/>
      <c r="Q70" s="71"/>
      <c r="R70" s="71"/>
      <c r="S70" s="71"/>
      <c r="T70" s="71"/>
      <c r="U70" s="71"/>
      <c r="V70" s="71"/>
      <c r="W70" s="71"/>
    </row>
    <row r="71" spans="1:23">
      <c r="A71" s="71"/>
      <c r="B71" s="164"/>
      <c r="C71" s="184"/>
      <c r="D71" s="71"/>
      <c r="E71" s="71"/>
      <c r="F71" s="349"/>
      <c r="G71" s="349"/>
      <c r="H71" s="349"/>
      <c r="I71" s="349"/>
      <c r="J71" s="349"/>
      <c r="K71" s="349"/>
      <c r="L71" s="349"/>
      <c r="M71" s="349"/>
      <c r="N71" s="349"/>
      <c r="O71" s="349"/>
      <c r="P71" s="71"/>
      <c r="Q71" s="71"/>
      <c r="R71" s="71"/>
      <c r="S71" s="71"/>
      <c r="T71" s="71"/>
      <c r="U71" s="71"/>
      <c r="V71" s="71"/>
      <c r="W71" s="71"/>
    </row>
    <row r="72" spans="1:23">
      <c r="A72" s="71"/>
      <c r="B72" s="164"/>
      <c r="C72" s="184"/>
      <c r="D72" s="71"/>
      <c r="E72" s="71"/>
      <c r="F72" s="349"/>
      <c r="G72" s="349"/>
      <c r="H72" s="349"/>
      <c r="I72" s="349"/>
      <c r="J72" s="349"/>
      <c r="K72" s="349"/>
      <c r="L72" s="349"/>
      <c r="M72" s="349"/>
      <c r="N72" s="349"/>
      <c r="O72" s="349"/>
      <c r="P72" s="71"/>
      <c r="Q72" s="71"/>
      <c r="R72" s="71"/>
      <c r="S72" s="71"/>
      <c r="T72" s="71"/>
      <c r="U72" s="71"/>
      <c r="V72" s="71"/>
      <c r="W72" s="71"/>
    </row>
    <row r="73" spans="1:23">
      <c r="A73" s="71"/>
      <c r="B73" s="164"/>
      <c r="C73" s="184"/>
      <c r="D73" s="71"/>
      <c r="E73" s="71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71"/>
      <c r="Q73" s="71"/>
      <c r="R73" s="71"/>
      <c r="S73" s="71"/>
      <c r="T73" s="71"/>
      <c r="U73" s="71"/>
      <c r="V73" s="71"/>
      <c r="W73" s="71"/>
    </row>
    <row r="74" spans="1:23">
      <c r="A74" s="71"/>
      <c r="B74" s="164"/>
      <c r="C74" s="184"/>
      <c r="D74" s="71"/>
      <c r="E74" s="71"/>
      <c r="F74" s="349"/>
      <c r="G74" s="349"/>
      <c r="H74" s="349"/>
      <c r="I74" s="349"/>
      <c r="J74" s="349"/>
      <c r="K74" s="349"/>
      <c r="L74" s="349"/>
      <c r="M74" s="349"/>
      <c r="N74" s="349"/>
      <c r="O74" s="349"/>
      <c r="P74" s="71"/>
      <c r="Q74" s="71"/>
      <c r="R74" s="71"/>
      <c r="S74" s="71"/>
      <c r="T74" s="71"/>
      <c r="U74" s="71"/>
      <c r="V74" s="71"/>
      <c r="W74" s="71"/>
    </row>
    <row r="75" spans="1:23">
      <c r="A75" s="71"/>
      <c r="B75" s="164"/>
      <c r="C75" s="184"/>
      <c r="D75" s="71"/>
      <c r="E75" s="71"/>
      <c r="F75" s="349"/>
      <c r="G75" s="349"/>
      <c r="H75" s="349"/>
      <c r="I75" s="349"/>
      <c r="J75" s="349"/>
      <c r="K75" s="349"/>
      <c r="L75" s="349"/>
      <c r="M75" s="349"/>
      <c r="N75" s="349"/>
      <c r="O75" s="349"/>
      <c r="P75" s="71"/>
      <c r="Q75" s="71"/>
      <c r="R75" s="71"/>
      <c r="S75" s="71"/>
      <c r="T75" s="71"/>
      <c r="U75" s="71"/>
      <c r="V75" s="71"/>
      <c r="W75" s="71"/>
    </row>
    <row r="76" spans="1:23" ht="15.75">
      <c r="A76" s="481" t="s">
        <v>684</v>
      </c>
      <c r="B76" s="488"/>
      <c r="C76" s="501"/>
      <c r="D76" s="427"/>
      <c r="E76" s="71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71"/>
      <c r="Q76" s="71"/>
      <c r="R76" s="71"/>
      <c r="S76" s="71"/>
      <c r="T76" s="71"/>
      <c r="U76" s="71"/>
      <c r="V76" s="71"/>
      <c r="W76" s="71"/>
    </row>
    <row r="77" spans="1:23">
      <c r="A77" s="71"/>
      <c r="B77" s="164"/>
      <c r="C77" s="367"/>
      <c r="D77" s="124"/>
      <c r="E77" s="71"/>
      <c r="F77" s="428" t="str">
        <f t="shared" ref="F77:O77" ca="1" si="3">IF(F177&lt;0,"Внимание!","Верно")</f>
        <v>Верно</v>
      </c>
      <c r="G77" s="428" t="str">
        <f t="shared" ca="1" si="3"/>
        <v>Верно</v>
      </c>
      <c r="H77" s="428" t="str">
        <f t="shared" ca="1" si="3"/>
        <v>Верно</v>
      </c>
      <c r="I77" s="428" t="str">
        <f t="shared" ca="1" si="3"/>
        <v>Верно</v>
      </c>
      <c r="J77" s="428" t="str">
        <f t="shared" ca="1" si="3"/>
        <v>Верно</v>
      </c>
      <c r="K77" s="428" t="str">
        <f t="shared" ca="1" si="3"/>
        <v>Верно</v>
      </c>
      <c r="L77" s="428" t="str">
        <f t="shared" ca="1" si="3"/>
        <v>Верно</v>
      </c>
      <c r="M77" s="428" t="str">
        <f t="shared" ca="1" si="3"/>
        <v>Верно</v>
      </c>
      <c r="N77" s="428" t="str">
        <f t="shared" ca="1" si="3"/>
        <v>Верно</v>
      </c>
      <c r="O77" s="428" t="str">
        <f t="shared" ca="1" si="3"/>
        <v>Верно</v>
      </c>
      <c r="P77" s="71"/>
      <c r="Q77" s="71"/>
      <c r="R77" s="71"/>
      <c r="S77" s="71"/>
      <c r="T77" s="71"/>
      <c r="U77" s="71"/>
      <c r="V77" s="71"/>
      <c r="W77" s="71"/>
    </row>
    <row r="78" spans="1:23" ht="18.75">
      <c r="A78" s="482" t="s">
        <v>869</v>
      </c>
      <c r="B78" s="164"/>
      <c r="C78" s="367"/>
      <c r="D78" s="124"/>
      <c r="E78" s="71"/>
      <c r="F78" s="428"/>
      <c r="G78" s="428"/>
      <c r="H78" s="428"/>
      <c r="I78" s="428"/>
      <c r="J78" s="428"/>
      <c r="K78" s="428"/>
      <c r="L78" s="428"/>
      <c r="M78" s="428"/>
      <c r="N78" s="428"/>
      <c r="O78" s="428"/>
      <c r="P78" s="71"/>
      <c r="Q78" s="71"/>
      <c r="R78" s="71"/>
      <c r="S78" s="71"/>
      <c r="T78" s="71"/>
      <c r="U78" s="71"/>
      <c r="V78" s="71"/>
      <c r="W78" s="71"/>
    </row>
    <row r="79" spans="1:23" s="16" customFormat="1">
      <c r="A79" s="483"/>
      <c r="B79" s="489" t="s">
        <v>176</v>
      </c>
      <c r="C79" s="502"/>
      <c r="D79" s="483"/>
      <c r="E79" s="420"/>
      <c r="F79" s="429">
        <v>46022</v>
      </c>
      <c r="G79" s="429">
        <v>46387</v>
      </c>
      <c r="H79" s="429">
        <v>46752</v>
      </c>
      <c r="I79" s="429">
        <v>47118</v>
      </c>
      <c r="J79" s="429">
        <v>47483</v>
      </c>
      <c r="K79" s="429">
        <v>47848</v>
      </c>
      <c r="L79" s="429">
        <v>48213</v>
      </c>
      <c r="M79" s="429">
        <v>48579</v>
      </c>
      <c r="N79" s="429">
        <v>48944</v>
      </c>
      <c r="O79" s="429">
        <v>49309</v>
      </c>
      <c r="P79" s="420"/>
      <c r="Q79" s="420"/>
      <c r="R79" s="420"/>
      <c r="S79" s="420"/>
      <c r="T79" s="420"/>
      <c r="U79" s="420"/>
      <c r="V79" s="420"/>
      <c r="W79" s="420"/>
    </row>
    <row r="80" spans="1:23" ht="30">
      <c r="A80" s="221" t="s">
        <v>333</v>
      </c>
      <c r="B80" s="91" t="s">
        <v>880</v>
      </c>
      <c r="C80" s="264" t="s">
        <v>19</v>
      </c>
      <c r="D80" s="394">
        <f ca="1">SUM(F80:O80)</f>
        <v>90243.713067757257</v>
      </c>
      <c r="E80" s="71"/>
      <c r="F80" s="244">
        <f t="shared" ref="F80:O80" ca="1" si="4">F146</f>
        <v>-1229.5696000000025</v>
      </c>
      <c r="G80" s="244">
        <f t="shared" ca="1" si="4"/>
        <v>1628.1505024000217</v>
      </c>
      <c r="H80" s="244">
        <f t="shared" ca="1" si="4"/>
        <v>5549.7051705344347</v>
      </c>
      <c r="I80" s="244">
        <f t="shared" ca="1" si="4"/>
        <v>10873.765229684359</v>
      </c>
      <c r="J80" s="244">
        <f t="shared" ca="1" si="4"/>
        <v>13456.355460210645</v>
      </c>
      <c r="K80" s="244">
        <f t="shared" ca="1" si="4"/>
        <v>13186.444226746622</v>
      </c>
      <c r="L80" s="244">
        <f t="shared" ca="1" si="4"/>
        <v>12860.479278639163</v>
      </c>
      <c r="M80" s="244">
        <f t="shared" ca="1" si="4"/>
        <v>12473.684060445434</v>
      </c>
      <c r="N80" s="244">
        <f t="shared" ca="1" si="4"/>
        <v>10979.608348807495</v>
      </c>
      <c r="O80" s="244">
        <f t="shared" ca="1" si="4"/>
        <v>10465.090390289086</v>
      </c>
      <c r="P80" s="71"/>
      <c r="Q80" s="420"/>
      <c r="R80" s="420"/>
      <c r="S80" s="420"/>
      <c r="T80" s="420"/>
      <c r="U80" s="420"/>
      <c r="V80" s="420"/>
      <c r="W80" s="420"/>
    </row>
    <row r="81" spans="1:43" ht="30">
      <c r="A81" s="221" t="s">
        <v>333</v>
      </c>
      <c r="B81" s="91" t="s">
        <v>881</v>
      </c>
      <c r="C81" s="264" t="s">
        <v>19</v>
      </c>
      <c r="D81" s="394">
        <f>SUM(F81:O81)</f>
        <v>0</v>
      </c>
      <c r="E81" s="71"/>
      <c r="F81" s="244">
        <f t="shared" ref="F81:O81" si="5">F157</f>
        <v>0</v>
      </c>
      <c r="G81" s="244">
        <f t="shared" si="5"/>
        <v>0</v>
      </c>
      <c r="H81" s="244">
        <f t="shared" si="5"/>
        <v>0</v>
      </c>
      <c r="I81" s="244">
        <f t="shared" si="5"/>
        <v>0</v>
      </c>
      <c r="J81" s="244">
        <f t="shared" si="5"/>
        <v>0</v>
      </c>
      <c r="K81" s="244">
        <f t="shared" si="5"/>
        <v>0</v>
      </c>
      <c r="L81" s="244">
        <f t="shared" si="5"/>
        <v>0</v>
      </c>
      <c r="M81" s="244">
        <f t="shared" si="5"/>
        <v>0</v>
      </c>
      <c r="N81" s="244">
        <f t="shared" si="5"/>
        <v>0</v>
      </c>
      <c r="O81" s="244">
        <f t="shared" si="5"/>
        <v>0</v>
      </c>
      <c r="P81" s="71"/>
      <c r="Q81" s="420"/>
      <c r="R81" s="420"/>
      <c r="S81" s="420"/>
      <c r="T81" s="420"/>
      <c r="U81" s="420"/>
      <c r="V81" s="420"/>
      <c r="W81" s="420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</row>
    <row r="82" spans="1:43" ht="28.5">
      <c r="A82" s="146"/>
      <c r="B82" s="361" t="s">
        <v>858</v>
      </c>
      <c r="C82" s="264" t="s">
        <v>19</v>
      </c>
      <c r="D82" s="268">
        <f ca="1">SUM(D80:D81)</f>
        <v>90243.713067757257</v>
      </c>
      <c r="E82" s="71"/>
      <c r="F82" s="268">
        <f ca="1">SUM(F80:F81)</f>
        <v>-1229.5696000000025</v>
      </c>
      <c r="G82" s="268">
        <f t="shared" ref="G82:O82" ca="1" si="6">SUM(G80:G81)</f>
        <v>1628.1505024000217</v>
      </c>
      <c r="H82" s="268">
        <f t="shared" ca="1" si="6"/>
        <v>5549.7051705344347</v>
      </c>
      <c r="I82" s="268">
        <f t="shared" ca="1" si="6"/>
        <v>10873.765229684359</v>
      </c>
      <c r="J82" s="268">
        <f t="shared" ca="1" si="6"/>
        <v>13456.355460210645</v>
      </c>
      <c r="K82" s="268">
        <f t="shared" ca="1" si="6"/>
        <v>13186.444226746622</v>
      </c>
      <c r="L82" s="268">
        <f t="shared" ca="1" si="6"/>
        <v>12860.479278639163</v>
      </c>
      <c r="M82" s="268">
        <f t="shared" ca="1" si="6"/>
        <v>12473.684060445434</v>
      </c>
      <c r="N82" s="268">
        <f t="shared" ca="1" si="6"/>
        <v>10979.608348807495</v>
      </c>
      <c r="O82" s="268">
        <f t="shared" ca="1" si="6"/>
        <v>10465.090390289086</v>
      </c>
      <c r="P82" s="71"/>
      <c r="Q82" s="420"/>
      <c r="R82" s="420"/>
      <c r="S82" s="420"/>
      <c r="T82" s="420"/>
      <c r="U82" s="420"/>
      <c r="V82" s="420"/>
      <c r="W82" s="420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</row>
    <row r="83" spans="1:43" ht="30">
      <c r="A83" s="146"/>
      <c r="B83" s="206" t="s">
        <v>859</v>
      </c>
      <c r="C83" s="192"/>
      <c r="D83" s="146"/>
      <c r="E83" s="71"/>
      <c r="F83" s="244">
        <f ca="1">F82</f>
        <v>-1229.5696000000025</v>
      </c>
      <c r="G83" s="244">
        <f ca="1">F83+G82</f>
        <v>398.58090240001911</v>
      </c>
      <c r="H83" s="244">
        <f t="shared" ref="H83:O83" ca="1" si="7">G83+H82</f>
        <v>5948.2860729344538</v>
      </c>
      <c r="I83" s="244">
        <f t="shared" ca="1" si="7"/>
        <v>16822.051302618813</v>
      </c>
      <c r="J83" s="244">
        <f t="shared" ca="1" si="7"/>
        <v>30278.406762829458</v>
      </c>
      <c r="K83" s="244">
        <f t="shared" ca="1" si="7"/>
        <v>43464.85098957608</v>
      </c>
      <c r="L83" s="244">
        <f t="shared" ca="1" si="7"/>
        <v>56325.330268215243</v>
      </c>
      <c r="M83" s="244">
        <f t="shared" ca="1" si="7"/>
        <v>68799.014328660676</v>
      </c>
      <c r="N83" s="244">
        <f t="shared" ca="1" si="7"/>
        <v>79778.622677468171</v>
      </c>
      <c r="O83" s="244">
        <f t="shared" ca="1" si="7"/>
        <v>90243.713067757257</v>
      </c>
      <c r="P83" s="71"/>
      <c r="Q83" s="420"/>
      <c r="R83" s="420"/>
      <c r="S83" s="420"/>
      <c r="T83" s="420"/>
      <c r="U83" s="420"/>
      <c r="V83" s="420"/>
      <c r="W83" s="420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</row>
    <row r="84" spans="1:43">
      <c r="A84" s="71"/>
      <c r="B84" s="164"/>
      <c r="C84" s="367"/>
      <c r="D84" s="124"/>
      <c r="E84" s="71"/>
      <c r="F84" s="428"/>
      <c r="G84" s="428"/>
      <c r="H84" s="428"/>
      <c r="I84" s="428"/>
      <c r="J84" s="428"/>
      <c r="K84" s="428"/>
      <c r="L84" s="428"/>
      <c r="M84" s="428"/>
      <c r="N84" s="428"/>
      <c r="O84" s="428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</row>
    <row r="85" spans="1:43" ht="37.9" customHeight="1">
      <c r="A85" s="482" t="s">
        <v>599</v>
      </c>
      <c r="B85" s="164"/>
      <c r="C85" s="367"/>
      <c r="D85" s="124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</row>
    <row r="86" spans="1:43">
      <c r="A86" s="71" t="str">
        <f>Паспорт_ФМ_резидент!$B$7</f>
        <v>Разработка, производство, модернизация и реализация …</v>
      </c>
      <c r="B86" s="164"/>
      <c r="C86" s="367"/>
      <c r="D86" s="124"/>
      <c r="E86" s="71"/>
      <c r="F86" s="347">
        <v>1</v>
      </c>
      <c r="G86" s="347">
        <v>2</v>
      </c>
      <c r="H86" s="347">
        <v>3</v>
      </c>
      <c r="I86" s="347">
        <v>4</v>
      </c>
      <c r="J86" s="347">
        <v>5</v>
      </c>
      <c r="K86" s="347">
        <v>6</v>
      </c>
      <c r="L86" s="347">
        <v>7</v>
      </c>
      <c r="M86" s="347">
        <v>8</v>
      </c>
      <c r="N86" s="347">
        <v>9</v>
      </c>
      <c r="O86" s="347">
        <v>10</v>
      </c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</row>
    <row r="87" spans="1:43" s="18" customFormat="1">
      <c r="A87" s="127" t="s">
        <v>599</v>
      </c>
      <c r="B87" s="230" t="s">
        <v>3</v>
      </c>
      <c r="C87" s="127" t="s">
        <v>12</v>
      </c>
      <c r="D87" s="194" t="e">
        <f>CONCATENATE("Итого ",F87,"-",O87)</f>
        <v>#VALUE!</v>
      </c>
      <c r="E87" s="152"/>
      <c r="F87" s="127" t="e">
        <f>YEAR(Паспорт_ФМ_резидент!C36)</f>
        <v>#VALUE!</v>
      </c>
      <c r="G87" s="127" t="e">
        <f t="shared" ref="G87:O87" si="8">F87+1</f>
        <v>#VALUE!</v>
      </c>
      <c r="H87" s="127" t="e">
        <f t="shared" si="8"/>
        <v>#VALUE!</v>
      </c>
      <c r="I87" s="127" t="e">
        <f t="shared" si="8"/>
        <v>#VALUE!</v>
      </c>
      <c r="J87" s="127" t="e">
        <f t="shared" si="8"/>
        <v>#VALUE!</v>
      </c>
      <c r="K87" s="127" t="e">
        <f t="shared" si="8"/>
        <v>#VALUE!</v>
      </c>
      <c r="L87" s="127" t="e">
        <f t="shared" si="8"/>
        <v>#VALUE!</v>
      </c>
      <c r="M87" s="127" t="e">
        <f t="shared" si="8"/>
        <v>#VALUE!</v>
      </c>
      <c r="N87" s="127" t="e">
        <f t="shared" si="8"/>
        <v>#VALUE!</v>
      </c>
      <c r="O87" s="127" t="e">
        <f t="shared" si="8"/>
        <v>#VALUE!</v>
      </c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</row>
    <row r="88" spans="1:43" ht="8.1" customHeight="1">
      <c r="A88" s="128"/>
      <c r="B88" s="258"/>
      <c r="C88" s="128"/>
      <c r="D88" s="128"/>
      <c r="E88" s="71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71"/>
      <c r="Q88" s="128"/>
      <c r="R88" s="71"/>
      <c r="S88" s="71"/>
      <c r="T88" s="71"/>
      <c r="U88" s="71"/>
      <c r="V88" s="71"/>
      <c r="W88" s="71"/>
      <c r="X88" s="71"/>
      <c r="Y88" s="71"/>
      <c r="Z88" s="71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</row>
    <row r="89" spans="1:43">
      <c r="A89" s="221" t="str">
        <f t="array" aca="1" ref="A89" ca="1">HYPERLINK(CELL("адрес",Выручка!A8),"источник")</f>
        <v>источник</v>
      </c>
      <c r="B89" s="357" t="s">
        <v>443</v>
      </c>
      <c r="C89" s="368" t="s">
        <v>19</v>
      </c>
      <c r="D89" s="348">
        <f>SUM(F89:O89)</f>
        <v>1558629.0695994112</v>
      </c>
      <c r="E89" s="71"/>
      <c r="F89" s="348">
        <f>Выручка!F8*(1+$D$6)</f>
        <v>110000</v>
      </c>
      <c r="G89" s="348">
        <f>Выручка!G8*(1+$D$6)</f>
        <v>120640</v>
      </c>
      <c r="H89" s="348">
        <f>Выручка!H8*(1+$D$6)</f>
        <v>131955.20000000001</v>
      </c>
      <c r="I89" s="348">
        <f>Выручка!I8*(1+$D$6)</f>
        <v>148482.04800000004</v>
      </c>
      <c r="J89" s="348">
        <f>Выручка!J8*(1+$D$6)</f>
        <v>157930.90560000006</v>
      </c>
      <c r="K89" s="348">
        <f>Выручка!K8*(1+$D$6)</f>
        <v>164248.14182400005</v>
      </c>
      <c r="L89" s="348">
        <f>Выручка!L8*(1+$D$6)</f>
        <v>170818.06749696005</v>
      </c>
      <c r="M89" s="348">
        <f>Выручка!M8*(1+$D$6)</f>
        <v>177650.79019683844</v>
      </c>
      <c r="N89" s="348">
        <f>Выручка!N8*(1+$D$6)</f>
        <v>184756.82180471197</v>
      </c>
      <c r="O89" s="348">
        <f>Выручка!O8*(1+$D$6)</f>
        <v>192147.09467690048</v>
      </c>
      <c r="P89" s="71"/>
      <c r="Q89" s="162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</row>
    <row r="90" spans="1:43" ht="28.5">
      <c r="A90" s="71"/>
      <c r="B90" s="357" t="s">
        <v>104</v>
      </c>
      <c r="C90" s="368" t="s">
        <v>19</v>
      </c>
      <c r="D90" s="348">
        <f>SUM(D91:D95)</f>
        <v>-979434.5971411739</v>
      </c>
      <c r="E90" s="71"/>
      <c r="F90" s="348">
        <f t="shared" ref="F90:O90" si="9">SUM(F91:F95)</f>
        <v>-74304.800000000003</v>
      </c>
      <c r="G90" s="348">
        <f t="shared" si="9"/>
        <v>-79697.868799999997</v>
      </c>
      <c r="H90" s="348">
        <f t="shared" si="9"/>
        <v>-84327.349452800001</v>
      </c>
      <c r="I90" s="348">
        <f t="shared" si="9"/>
        <v>-92580.023422156795</v>
      </c>
      <c r="J90" s="348">
        <f t="shared" si="9"/>
        <v>-96684.63529379759</v>
      </c>
      <c r="K90" s="348">
        <f t="shared" si="9"/>
        <v>-100975.91065265026</v>
      </c>
      <c r="L90" s="348">
        <f t="shared" si="9"/>
        <v>-105462.57486289469</v>
      </c>
      <c r="M90" s="348">
        <f t="shared" si="9"/>
        <v>-110153.77279746062</v>
      </c>
      <c r="N90" s="348">
        <f t="shared" si="9"/>
        <v>-115059.08956605202</v>
      </c>
      <c r="O90" s="348">
        <f t="shared" si="9"/>
        <v>-120188.57229336188</v>
      </c>
      <c r="P90" s="71"/>
      <c r="Q90" s="162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</row>
    <row r="91" spans="1:43" ht="30">
      <c r="A91" s="306" t="str">
        <f t="array" aca="1" ref="A91" ca="1">HYPERLINK(CELL("адрес",Себестоимость!A7),"источник")</f>
        <v>источник</v>
      </c>
      <c r="B91" s="490" t="s">
        <v>237</v>
      </c>
      <c r="C91" s="368" t="s">
        <v>19</v>
      </c>
      <c r="D91" s="372">
        <f>SUM(F91:O91)</f>
        <v>-619797.2775168058</v>
      </c>
      <c r="E91" s="71"/>
      <c r="F91" s="349">
        <f>-Себестоимость!F7*(1+$D$7)</f>
        <v>-46000</v>
      </c>
      <c r="G91" s="349">
        <f>-Себестоимость!G7*(1+$D$7)</f>
        <v>-49920</v>
      </c>
      <c r="H91" s="349">
        <f>-Себестоимость!H7*(1+$D$7)</f>
        <v>-52998.399999999994</v>
      </c>
      <c r="I91" s="349">
        <f>-Себестоимость!I7*(1+$D$7)</f>
        <v>-59617.792000000001</v>
      </c>
      <c r="J91" s="349">
        <f>-Себестоимость!J7*(1+$D$7)</f>
        <v>-62002.503680000009</v>
      </c>
      <c r="K91" s="349">
        <f>-Себестоимость!K7*(1+$D$7)</f>
        <v>-64482.603827200001</v>
      </c>
      <c r="L91" s="349">
        <f>-Себестоимость!L7*(1+$D$7)</f>
        <v>-67061.907980288015</v>
      </c>
      <c r="M91" s="349">
        <f>-Себестоимость!M7*(1+$D$7)</f>
        <v>-69744.384299499536</v>
      </c>
      <c r="N91" s="349">
        <f>-Себестоимость!N7*(1+$D$7)</f>
        <v>-72534.159671479516</v>
      </c>
      <c r="O91" s="349">
        <f>-Себестоимость!O7*(1+$D$7)</f>
        <v>-75435.526058338699</v>
      </c>
      <c r="P91" s="71"/>
      <c r="Q91" s="162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</row>
    <row r="92" spans="1:43">
      <c r="A92" s="221" t="str">
        <f t="array" aca="1" ref="A92" ca="1">HYPERLINK(CELL("адрес",Ресурсы!A5),"источник")</f>
        <v>источник</v>
      </c>
      <c r="B92" s="490" t="s">
        <v>247</v>
      </c>
      <c r="C92" s="368" t="s">
        <v>19</v>
      </c>
      <c r="D92" s="372">
        <f>SUM(F92:O92)</f>
        <v>0</v>
      </c>
      <c r="E92" s="71"/>
      <c r="F92" s="349">
        <f>-Ресурсы!F5*(1+$D$7)</f>
        <v>0</v>
      </c>
      <c r="G92" s="349">
        <f>-Ресурсы!G5*(1+$D$7)</f>
        <v>0</v>
      </c>
      <c r="H92" s="349">
        <f>-Ресурсы!H5*(1+$D$7)</f>
        <v>0</v>
      </c>
      <c r="I92" s="349">
        <f>-Ресурсы!I5*(1+$D$7)</f>
        <v>0</v>
      </c>
      <c r="J92" s="349">
        <f>-Ресурсы!J5*(1+$D$7)</f>
        <v>0</v>
      </c>
      <c r="K92" s="349">
        <f>-Ресурсы!K5*(1+$D$7)</f>
        <v>0</v>
      </c>
      <c r="L92" s="349">
        <f>-Ресурсы!L5*(1+$D$7)</f>
        <v>0</v>
      </c>
      <c r="M92" s="349">
        <f>-Ресурсы!M5*(1+$D$7)</f>
        <v>0</v>
      </c>
      <c r="N92" s="349">
        <f>-Ресурсы!N5*(1+$D$7)</f>
        <v>0</v>
      </c>
      <c r="O92" s="349">
        <f>-Ресурсы!O5*(1+$D$7)</f>
        <v>0</v>
      </c>
      <c r="P92" s="71"/>
      <c r="Q92" s="162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</row>
    <row r="93" spans="1:43" ht="30">
      <c r="A93" s="221" t="str">
        <f t="array" aca="1" ref="A93" ca="1">HYPERLINK(CELL("адрес",Персонал!A45),"источник")</f>
        <v>источник</v>
      </c>
      <c r="B93" s="490" t="s">
        <v>463</v>
      </c>
      <c r="C93" s="264" t="s">
        <v>19</v>
      </c>
      <c r="D93" s="372">
        <f>SUM(F93:O93)</f>
        <v>-275594.56976365787</v>
      </c>
      <c r="E93" s="71"/>
      <c r="F93" s="135">
        <f>-Персонал!F45*(1+$D$7)</f>
        <v>-21304.799999999999</v>
      </c>
      <c r="G93" s="135">
        <f>-Персонал!G45*(1+$D$7)</f>
        <v>-22497.868800000004</v>
      </c>
      <c r="H93" s="135">
        <f>-Персонал!H45*(1+$D$7)</f>
        <v>-23757.749452800006</v>
      </c>
      <c r="I93" s="135">
        <f>-Персонал!I45*(1+$D$7)</f>
        <v>-25088.183422156802</v>
      </c>
      <c r="J93" s="135">
        <f>-Персонал!J45*(1+$D$7)</f>
        <v>-26493.121693797588</v>
      </c>
      <c r="K93" s="135">
        <f>-Персонал!K45*(1+$D$7)</f>
        <v>-27976.736508650254</v>
      </c>
      <c r="L93" s="135">
        <f>-Персонал!L45*(1+$D$7)</f>
        <v>-29543.433753134668</v>
      </c>
      <c r="M93" s="135">
        <f>-Персонал!M45*(1+$D$7)</f>
        <v>-31197.866043310212</v>
      </c>
      <c r="N93" s="135">
        <f>-Персонал!N45*(1+$D$7)</f>
        <v>-32944.946541735582</v>
      </c>
      <c r="O93" s="135">
        <f>-Персонал!O45*(1+$D$7)</f>
        <v>-34789.863548072775</v>
      </c>
      <c r="P93" s="71"/>
      <c r="Q93" s="162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</row>
    <row r="94" spans="1:43">
      <c r="A94" s="221" t="str">
        <f t="array" aca="1" ref="A94" ca="1">HYPERLINK(CELL("адрес",Инвестиции!A16),"источник")</f>
        <v>источник</v>
      </c>
      <c r="B94" s="490" t="s">
        <v>336</v>
      </c>
      <c r="C94" s="264" t="s">
        <v>19</v>
      </c>
      <c r="D94" s="372">
        <f>SUM(F94:O94)</f>
        <v>0</v>
      </c>
      <c r="E94" s="71"/>
      <c r="F94" s="135">
        <f>-Инвестиции!F16*(1+$D$7)</f>
        <v>0</v>
      </c>
      <c r="G94" s="135">
        <f>-Инвестиции!G16*(1+$D$7)</f>
        <v>0</v>
      </c>
      <c r="H94" s="135">
        <f>-Инвестиции!H16*(1+$D$7)</f>
        <v>0</v>
      </c>
      <c r="I94" s="135">
        <f>-Инвестиции!I16*(1+$D$7)</f>
        <v>0</v>
      </c>
      <c r="J94" s="135">
        <f>-Инвестиции!J16*(1+$D$7)</f>
        <v>0</v>
      </c>
      <c r="K94" s="135">
        <f>-Инвестиции!K16*(1+$D$7)</f>
        <v>0</v>
      </c>
      <c r="L94" s="135">
        <f>-Инвестиции!L16*(1+$D$7)</f>
        <v>0</v>
      </c>
      <c r="M94" s="135">
        <f>-Инвестиции!M16*(1+$D$7)</f>
        <v>0</v>
      </c>
      <c r="N94" s="135">
        <f>-Инвестиции!N16*(1+$D$7)</f>
        <v>0</v>
      </c>
      <c r="O94" s="135">
        <f>-Инвестиции!O16*(1+$D$7)</f>
        <v>0</v>
      </c>
      <c r="P94" s="71"/>
      <c r="Q94" s="162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</row>
    <row r="95" spans="1:43" ht="30">
      <c r="A95" s="356" t="str">
        <f t="array" aca="1" ref="A95" ca="1">HYPERLINK(CELL("адрес",ОбщПрРасходы!A5),"источник")</f>
        <v>источник</v>
      </c>
      <c r="B95" s="490" t="s">
        <v>99</v>
      </c>
      <c r="C95" s="264" t="s">
        <v>19</v>
      </c>
      <c r="D95" s="372">
        <f>SUM(F95:O95)</f>
        <v>-84042.749860710202</v>
      </c>
      <c r="E95" s="71"/>
      <c r="F95" s="135">
        <f>-ОбщПрРасходы!F5*(1+$D$7)</f>
        <v>-7000</v>
      </c>
      <c r="G95" s="135">
        <f>-ОбщПрРасходы!G5*(1+$D$7)</f>
        <v>-7280</v>
      </c>
      <c r="H95" s="135">
        <f>-ОбщПрРасходы!H5*(1+$D$7)</f>
        <v>-7571.2000000000007</v>
      </c>
      <c r="I95" s="135">
        <f>-ОбщПрРасходы!I5*(1+$D$7)</f>
        <v>-7874.0480000000007</v>
      </c>
      <c r="J95" s="135">
        <f>-ОбщПрРасходы!J5*(1+$D$7)</f>
        <v>-8189.0099200000004</v>
      </c>
      <c r="K95" s="135">
        <f>-ОбщПрРасходы!K5*(1+$D$7)</f>
        <v>-8516.5703168000018</v>
      </c>
      <c r="L95" s="135">
        <f>-ОбщПрРасходы!L5*(1+$D$7)</f>
        <v>-8857.2331294720007</v>
      </c>
      <c r="M95" s="135">
        <f>-ОбщПрРасходы!M5*(1+$D$7)</f>
        <v>-9211.5224546508816</v>
      </c>
      <c r="N95" s="135">
        <f>-ОбщПрРасходы!N5*(1+$D$7)</f>
        <v>-9579.9833528369163</v>
      </c>
      <c r="O95" s="135">
        <f>-ОбщПрРасходы!O5*(1+$D$7)</f>
        <v>-9963.1826869503948</v>
      </c>
      <c r="P95" s="71"/>
      <c r="Q95" s="162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</row>
    <row r="96" spans="1:43" ht="15.75" thickBot="1">
      <c r="A96" s="146"/>
      <c r="B96" s="359" t="s">
        <v>87</v>
      </c>
      <c r="C96" s="264" t="s">
        <v>19</v>
      </c>
      <c r="D96" s="350">
        <f>D89+D90</f>
        <v>579194.47245823732</v>
      </c>
      <c r="E96" s="71"/>
      <c r="F96" s="350">
        <f t="shared" ref="F96:O96" si="10">F89+F90</f>
        <v>35695.199999999997</v>
      </c>
      <c r="G96" s="350">
        <f t="shared" si="10"/>
        <v>40942.131200000003</v>
      </c>
      <c r="H96" s="350">
        <f t="shared" si="10"/>
        <v>47627.850547200011</v>
      </c>
      <c r="I96" s="350">
        <f t="shared" si="10"/>
        <v>55902.024577843244</v>
      </c>
      <c r="J96" s="350">
        <f t="shared" si="10"/>
        <v>61246.270306202467</v>
      </c>
      <c r="K96" s="350">
        <f t="shared" si="10"/>
        <v>63272.231171349791</v>
      </c>
      <c r="L96" s="350">
        <f t="shared" si="10"/>
        <v>65355.492634065362</v>
      </c>
      <c r="M96" s="350">
        <f t="shared" si="10"/>
        <v>67497.017399377815</v>
      </c>
      <c r="N96" s="350">
        <f t="shared" si="10"/>
        <v>69697.732238659955</v>
      </c>
      <c r="O96" s="350">
        <f t="shared" si="10"/>
        <v>71958.522383538599</v>
      </c>
      <c r="P96" s="71"/>
      <c r="Q96" s="162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</row>
    <row r="97" spans="1:43" ht="30">
      <c r="A97" s="146"/>
      <c r="B97" s="360" t="s">
        <v>88</v>
      </c>
      <c r="C97" s="369" t="s">
        <v>27</v>
      </c>
      <c r="D97" s="373">
        <f>IFERROR(D96/D89,"-")</f>
        <v>0.37160507509788593</v>
      </c>
      <c r="E97" s="71"/>
      <c r="F97" s="351">
        <f t="shared" ref="F97:O97" si="11">IFERROR(F96/F89,"-")</f>
        <v>0.32450181818181817</v>
      </c>
      <c r="G97" s="351">
        <f t="shared" si="11"/>
        <v>0.33937442970822285</v>
      </c>
      <c r="H97" s="351">
        <f t="shared" si="11"/>
        <v>0.36093955029585806</v>
      </c>
      <c r="I97" s="351">
        <f t="shared" si="11"/>
        <v>0.37649012342450466</v>
      </c>
      <c r="J97" s="351">
        <f t="shared" si="11"/>
        <v>0.3878042114272689</v>
      </c>
      <c r="K97" s="351">
        <f t="shared" si="11"/>
        <v>0.38522342151760286</v>
      </c>
      <c r="L97" s="351">
        <f t="shared" si="11"/>
        <v>0.38260292714778815</v>
      </c>
      <c r="M97" s="351">
        <f t="shared" si="11"/>
        <v>0.3799421174799763</v>
      </c>
      <c r="N97" s="351">
        <f t="shared" si="11"/>
        <v>0.37724037227881352</v>
      </c>
      <c r="O97" s="351">
        <f t="shared" si="11"/>
        <v>0.37449706176686365</v>
      </c>
      <c r="P97" s="71"/>
      <c r="Q97" s="162"/>
      <c r="R97" s="71"/>
      <c r="S97" s="71"/>
      <c r="T97" s="124"/>
      <c r="U97" s="137"/>
      <c r="V97" s="474"/>
      <c r="W97" s="445"/>
      <c r="X97" s="445"/>
      <c r="Y97" s="445"/>
      <c r="Z97" s="445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</row>
    <row r="98" spans="1:43" ht="28.5">
      <c r="A98" s="146"/>
      <c r="B98" s="361" t="s">
        <v>153</v>
      </c>
      <c r="C98" s="264" t="s">
        <v>19</v>
      </c>
      <c r="D98" s="348">
        <f>SUM(F98:O98)</f>
        <v>-387826.87418900139</v>
      </c>
      <c r="E98" s="71"/>
      <c r="F98" s="348">
        <f t="shared" ref="F98:O98" si="12">SUM(F99:F100)</f>
        <v>-30742.720000000001</v>
      </c>
      <c r="G98" s="348">
        <f t="shared" si="12"/>
        <v>-32294.712319999999</v>
      </c>
      <c r="H98" s="348">
        <f t="shared" si="12"/>
        <v>-33926.832209920001</v>
      </c>
      <c r="I98" s="348">
        <f t="shared" si="12"/>
        <v>-35643.295453675521</v>
      </c>
      <c r="J98" s="348">
        <f t="shared" si="12"/>
        <v>-37448.543064681355</v>
      </c>
      <c r="K98" s="348">
        <f t="shared" si="12"/>
        <v>-39347.253464527515</v>
      </c>
      <c r="L98" s="348">
        <f t="shared" si="12"/>
        <v>-41344.355326294011</v>
      </c>
      <c r="M98" s="348">
        <f t="shared" si="12"/>
        <v>-43445.041119029556</v>
      </c>
      <c r="N98" s="348">
        <f t="shared" si="12"/>
        <v>-45654.78139193682</v>
      </c>
      <c r="O98" s="348">
        <f t="shared" si="12"/>
        <v>-47979.339838936547</v>
      </c>
      <c r="P98" s="71"/>
      <c r="Q98" s="162"/>
      <c r="R98" s="71"/>
      <c r="S98" s="71"/>
      <c r="T98" s="124"/>
      <c r="U98" s="137"/>
      <c r="V98" s="137"/>
      <c r="W98" s="226"/>
      <c r="X98" s="226"/>
      <c r="Y98" s="226"/>
      <c r="Z98" s="226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</row>
    <row r="99" spans="1:43" ht="30">
      <c r="A99" s="221" t="str">
        <f t="array" aca="1" ref="A99" ca="1">HYPERLINK(CELL("адрес",Персонал!A46),"источник")</f>
        <v>источник</v>
      </c>
      <c r="B99" s="490" t="s">
        <v>155</v>
      </c>
      <c r="C99" s="264" t="s">
        <v>19</v>
      </c>
      <c r="D99" s="372">
        <f>SUM(F99:O99)</f>
        <v>-260562.13868564012</v>
      </c>
      <c r="E99" s="71"/>
      <c r="F99" s="135">
        <f>-Персонал!F46*(1+$D$7)</f>
        <v>-20142.72</v>
      </c>
      <c r="G99" s="135">
        <f>-Персонал!G46*(1+$D$7)</f>
        <v>-21270.712319999999</v>
      </c>
      <c r="H99" s="135">
        <f>-Персонал!H46*(1+$D$7)</f>
        <v>-22461.872209919999</v>
      </c>
      <c r="I99" s="135">
        <f>-Персонал!I46*(1+$D$7)</f>
        <v>-23719.737053675519</v>
      </c>
      <c r="J99" s="135">
        <f>-Персонал!J46*(1+$D$7)</f>
        <v>-25048.042328681353</v>
      </c>
      <c r="K99" s="135">
        <f>-Персонал!K46*(1+$D$7)</f>
        <v>-26450.732699087512</v>
      </c>
      <c r="L99" s="135">
        <f>-Персонал!L46*(1+$D$7)</f>
        <v>-27931.973730236408</v>
      </c>
      <c r="M99" s="135">
        <f>-Персонал!M46*(1+$D$7)</f>
        <v>-29496.164259129648</v>
      </c>
      <c r="N99" s="135">
        <f>-Персонал!N46*(1+$D$7)</f>
        <v>-31147.949457640912</v>
      </c>
      <c r="O99" s="135">
        <f>-Персонал!O46*(1+$D$7)</f>
        <v>-32892.234627268801</v>
      </c>
      <c r="P99" s="71"/>
      <c r="Q99" s="162"/>
      <c r="R99" s="71"/>
      <c r="S99" s="71"/>
      <c r="T99" s="124"/>
      <c r="U99" s="137"/>
      <c r="V99" s="137"/>
      <c r="W99" s="226"/>
      <c r="X99" s="226"/>
      <c r="Y99" s="226"/>
      <c r="Z99" s="226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</row>
    <row r="100" spans="1:43" ht="30">
      <c r="A100" s="221" t="str">
        <f t="array" aca="1" ref="A100" ca="1">HYPERLINK(CELL("адрес",АдмРасходы!A5),"источник")</f>
        <v>источник</v>
      </c>
      <c r="B100" s="490" t="s">
        <v>154</v>
      </c>
      <c r="C100" s="264" t="s">
        <v>19</v>
      </c>
      <c r="D100" s="372">
        <f>SUM(F100:O100)</f>
        <v>-127264.73550336117</v>
      </c>
      <c r="E100" s="71"/>
      <c r="F100" s="135">
        <f>-АдмРасходы!F5*(1+$D$7)</f>
        <v>-10600</v>
      </c>
      <c r="G100" s="135">
        <f>-АдмРасходы!G5*(1+$D$7)</f>
        <v>-11024</v>
      </c>
      <c r="H100" s="135">
        <f>-АдмРасходы!H5*(1+$D$7)</f>
        <v>-11464.96</v>
      </c>
      <c r="I100" s="135">
        <f>-АдмРасходы!I5*(1+$D$7)</f>
        <v>-11923.558400000002</v>
      </c>
      <c r="J100" s="135">
        <f>-АдмРасходы!J5*(1+$D$7)</f>
        <v>-12400.500736000002</v>
      </c>
      <c r="K100" s="135">
        <f>-АдмРасходы!K5*(1+$D$7)</f>
        <v>-12896.520765440004</v>
      </c>
      <c r="L100" s="135">
        <f>-АдмРасходы!L5*(1+$D$7)</f>
        <v>-13412.381596057603</v>
      </c>
      <c r="M100" s="135">
        <f>-АдмРасходы!M5*(1+$D$7)</f>
        <v>-13948.876859899909</v>
      </c>
      <c r="N100" s="135">
        <f>-АдмРасходы!N5*(1+$D$7)</f>
        <v>-14506.831934295906</v>
      </c>
      <c r="O100" s="135">
        <f>-АдмРасходы!O5*(1+$D$7)</f>
        <v>-15087.105211667744</v>
      </c>
      <c r="P100" s="71"/>
      <c r="Q100" s="162"/>
      <c r="R100" s="71"/>
      <c r="S100" s="71"/>
      <c r="T100" s="124"/>
      <c r="U100" s="137"/>
      <c r="V100" s="137"/>
      <c r="W100" s="226"/>
      <c r="X100" s="226"/>
      <c r="Y100" s="226"/>
      <c r="Z100" s="226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</row>
    <row r="101" spans="1:43" ht="29.25" thickBot="1">
      <c r="A101" s="146"/>
      <c r="B101" s="359" t="s">
        <v>89</v>
      </c>
      <c r="C101" s="264" t="s">
        <v>19</v>
      </c>
      <c r="D101" s="350">
        <f>D96+D98</f>
        <v>191367.59826923592</v>
      </c>
      <c r="E101" s="71"/>
      <c r="F101" s="350">
        <f t="shared" ref="F101:O101" si="13">F96+F98</f>
        <v>4952.4799999999959</v>
      </c>
      <c r="G101" s="350">
        <f t="shared" si="13"/>
        <v>8647.4188800000047</v>
      </c>
      <c r="H101" s="350">
        <f t="shared" si="13"/>
        <v>13701.018337280009</v>
      </c>
      <c r="I101" s="350">
        <f t="shared" si="13"/>
        <v>20258.729124167723</v>
      </c>
      <c r="J101" s="350">
        <f t="shared" si="13"/>
        <v>23797.727241521112</v>
      </c>
      <c r="K101" s="350">
        <f t="shared" si="13"/>
        <v>23924.977706822276</v>
      </c>
      <c r="L101" s="350">
        <f t="shared" si="13"/>
        <v>24011.137307771351</v>
      </c>
      <c r="M101" s="350">
        <f t="shared" si="13"/>
        <v>24051.976280348259</v>
      </c>
      <c r="N101" s="350">
        <f t="shared" si="13"/>
        <v>24042.950846723135</v>
      </c>
      <c r="O101" s="350">
        <f t="shared" si="13"/>
        <v>23979.182544602052</v>
      </c>
      <c r="P101" s="71"/>
      <c r="Q101" s="162"/>
      <c r="R101" s="71"/>
      <c r="S101" s="71"/>
      <c r="T101" s="124"/>
      <c r="U101" s="137"/>
      <c r="V101" s="137"/>
      <c r="W101" s="226"/>
      <c r="X101" s="226"/>
      <c r="Y101" s="226"/>
      <c r="Z101" s="226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</row>
    <row r="102" spans="1:43" ht="30">
      <c r="A102" s="146"/>
      <c r="B102" s="362" t="s">
        <v>90</v>
      </c>
      <c r="C102" s="369" t="s">
        <v>27</v>
      </c>
      <c r="D102" s="373">
        <f>IFERROR(D101/D89,"-")</f>
        <v>0.1227794361094651</v>
      </c>
      <c r="E102" s="71"/>
      <c r="F102" s="351">
        <f t="shared" ref="F102:O102" si="14">IFERROR(F101/F89,"-")</f>
        <v>4.5022545454545419E-2</v>
      </c>
      <c r="G102" s="351">
        <f t="shared" si="14"/>
        <v>7.1679533156498706E-2</v>
      </c>
      <c r="H102" s="351">
        <f t="shared" si="14"/>
        <v>0.10383083301969159</v>
      </c>
      <c r="I102" s="351">
        <f t="shared" si="14"/>
        <v>0.13643891229307206</v>
      </c>
      <c r="J102" s="351">
        <f t="shared" si="14"/>
        <v>0.15068442209655197</v>
      </c>
      <c r="K102" s="351">
        <f t="shared" si="14"/>
        <v>0.14566361263592903</v>
      </c>
      <c r="L102" s="351">
        <f t="shared" si="14"/>
        <v>0.14056555995283498</v>
      </c>
      <c r="M102" s="351">
        <f t="shared" si="14"/>
        <v>0.13538907569000105</v>
      </c>
      <c r="N102" s="351">
        <f t="shared" si="14"/>
        <v>0.13013295320773888</v>
      </c>
      <c r="O102" s="351">
        <f t="shared" si="14"/>
        <v>0.12479596730267283</v>
      </c>
      <c r="P102" s="71"/>
      <c r="Q102" s="162"/>
      <c r="R102" s="71"/>
      <c r="S102" s="71"/>
      <c r="T102" s="124"/>
      <c r="U102" s="137"/>
      <c r="V102" s="137"/>
      <c r="W102" s="226"/>
      <c r="X102" s="226"/>
      <c r="Y102" s="226"/>
      <c r="Z102" s="226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</row>
    <row r="103" spans="1:43">
      <c r="A103" s="146"/>
      <c r="B103" s="91" t="s">
        <v>93</v>
      </c>
      <c r="C103" s="264" t="s">
        <v>19</v>
      </c>
      <c r="D103" s="374">
        <f t="shared" ref="D103:D108" si="15">SUM(F103:O103)</f>
        <v>0</v>
      </c>
      <c r="E103" s="71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71"/>
      <c r="Q103" s="162"/>
      <c r="R103" s="71"/>
      <c r="S103" s="71"/>
      <c r="T103" s="124"/>
      <c r="U103" s="137"/>
      <c r="V103" s="137"/>
      <c r="W103" s="226"/>
      <c r="X103" s="226"/>
      <c r="Y103" s="226"/>
      <c r="Z103" s="226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</row>
    <row r="104" spans="1:43" ht="30">
      <c r="A104" s="356" t="s">
        <v>333</v>
      </c>
      <c r="B104" s="491" t="s">
        <v>688</v>
      </c>
      <c r="C104" s="264" t="s">
        <v>19</v>
      </c>
      <c r="D104" s="374">
        <f t="shared" ca="1" si="15"/>
        <v>0</v>
      </c>
      <c r="E104" s="71"/>
      <c r="F104" s="225">
        <f t="shared" ref="F104:O104" ca="1" si="16">-F187</f>
        <v>0</v>
      </c>
      <c r="G104" s="225">
        <f t="shared" ca="1" si="16"/>
        <v>0</v>
      </c>
      <c r="H104" s="225">
        <f t="shared" ca="1" si="16"/>
        <v>0</v>
      </c>
      <c r="I104" s="225">
        <f t="shared" ca="1" si="16"/>
        <v>0</v>
      </c>
      <c r="J104" s="225">
        <f t="shared" ca="1" si="16"/>
        <v>0</v>
      </c>
      <c r="K104" s="225">
        <f t="shared" ca="1" si="16"/>
        <v>0</v>
      </c>
      <c r="L104" s="225">
        <f t="shared" ca="1" si="16"/>
        <v>0</v>
      </c>
      <c r="M104" s="225">
        <f t="shared" ca="1" si="16"/>
        <v>0</v>
      </c>
      <c r="N104" s="225">
        <f t="shared" ca="1" si="16"/>
        <v>0</v>
      </c>
      <c r="O104" s="225">
        <f t="shared" ca="1" si="16"/>
        <v>0</v>
      </c>
      <c r="P104" s="71"/>
      <c r="Q104" s="162"/>
      <c r="R104" s="71"/>
      <c r="S104" s="71"/>
      <c r="T104" s="124"/>
      <c r="U104" s="137"/>
      <c r="V104" s="137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447"/>
      <c r="AG104" s="475"/>
      <c r="AH104" s="458"/>
      <c r="AI104" s="226"/>
      <c r="AJ104" s="226"/>
      <c r="AK104" s="226"/>
      <c r="AL104" s="226"/>
      <c r="AM104" s="226"/>
      <c r="AN104" s="226"/>
      <c r="AO104" s="226"/>
      <c r="AP104" s="226"/>
      <c r="AQ104" s="226"/>
    </row>
    <row r="105" spans="1:43">
      <c r="A105" s="221" t="str">
        <f t="array" aca="1" ref="A105" ca="1">HYPERLINK(CELL("адрес",ПрочДоходы!A5),"источник")</f>
        <v>источник</v>
      </c>
      <c r="B105" s="91" t="s">
        <v>91</v>
      </c>
      <c r="C105" s="264" t="s">
        <v>19</v>
      </c>
      <c r="D105" s="374">
        <f t="shared" si="15"/>
        <v>0</v>
      </c>
      <c r="E105" s="71"/>
      <c r="F105" s="226">
        <f>ПрочДоходы!F5</f>
        <v>0</v>
      </c>
      <c r="G105" s="226">
        <f>ПрочДоходы!G5</f>
        <v>0</v>
      </c>
      <c r="H105" s="226">
        <f>ПрочДоходы!H5</f>
        <v>0</v>
      </c>
      <c r="I105" s="226">
        <f>ПрочДоходы!I5</f>
        <v>0</v>
      </c>
      <c r="J105" s="226">
        <f>ПрочДоходы!J5</f>
        <v>0</v>
      </c>
      <c r="K105" s="226">
        <f>ПрочДоходы!K5</f>
        <v>0</v>
      </c>
      <c r="L105" s="226">
        <f>ПрочДоходы!L5</f>
        <v>0</v>
      </c>
      <c r="M105" s="226">
        <f>ПрочДоходы!M5</f>
        <v>0</v>
      </c>
      <c r="N105" s="226">
        <f>ПрочДоходы!N5</f>
        <v>0</v>
      </c>
      <c r="O105" s="226">
        <f>ПрочДоходы!O5</f>
        <v>0</v>
      </c>
      <c r="P105" s="71"/>
      <c r="Q105" s="162"/>
      <c r="R105" s="71"/>
      <c r="S105" s="71"/>
      <c r="T105" s="124"/>
      <c r="U105" s="137"/>
      <c r="V105" s="137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447"/>
      <c r="AG105" s="475"/>
      <c r="AH105" s="458"/>
      <c r="AI105" s="226"/>
      <c r="AJ105" s="226"/>
      <c r="AK105" s="226"/>
      <c r="AL105" s="226"/>
      <c r="AM105" s="226"/>
      <c r="AN105" s="226"/>
      <c r="AO105" s="226"/>
      <c r="AP105" s="226"/>
      <c r="AQ105" s="226"/>
    </row>
    <row r="106" spans="1:43">
      <c r="A106" s="221" t="str">
        <f t="array" aca="1" ref="A106" ca="1">HYPERLINK(CELL("адрес",ПрочРасходы!A5),"источник")</f>
        <v>источник</v>
      </c>
      <c r="B106" s="91" t="s">
        <v>92</v>
      </c>
      <c r="C106" s="264" t="s">
        <v>19</v>
      </c>
      <c r="D106" s="374">
        <f t="shared" si="15"/>
        <v>-28214.351738952715</v>
      </c>
      <c r="E106" s="71"/>
      <c r="F106" s="226">
        <f>-ПрочРасходы!F5</f>
        <v>-2350</v>
      </c>
      <c r="G106" s="226">
        <f>-ПрочРасходы!G5</f>
        <v>-2444</v>
      </c>
      <c r="H106" s="226">
        <f>-ПрочРасходы!H5</f>
        <v>-2541.7600000000002</v>
      </c>
      <c r="I106" s="226">
        <f>-ПрочРасходы!I5</f>
        <v>-2643.4304000000002</v>
      </c>
      <c r="J106" s="226">
        <f>-ПрочРасходы!J5</f>
        <v>-2749.1676160000006</v>
      </c>
      <c r="K106" s="226">
        <f>-ПрочРасходы!K5</f>
        <v>-2859.1343206400011</v>
      </c>
      <c r="L106" s="226">
        <f>-ПрочРасходы!L5</f>
        <v>-2973.499693465601</v>
      </c>
      <c r="M106" s="226">
        <f>-ПрочРасходы!M5</f>
        <v>-3092.4396812042251</v>
      </c>
      <c r="N106" s="226">
        <f>-ПрочРасходы!N5</f>
        <v>-3216.1372684523944</v>
      </c>
      <c r="O106" s="226">
        <f>-ПрочРасходы!O5</f>
        <v>-3344.7827591904902</v>
      </c>
      <c r="P106" s="71"/>
      <c r="Q106" s="162"/>
      <c r="R106" s="71"/>
      <c r="S106" s="71"/>
      <c r="T106" s="124"/>
      <c r="U106" s="137"/>
      <c r="V106" s="137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447"/>
      <c r="AG106" s="475"/>
      <c r="AH106" s="458"/>
      <c r="AI106" s="226"/>
      <c r="AJ106" s="226"/>
      <c r="AK106" s="226"/>
      <c r="AL106" s="226"/>
      <c r="AM106" s="226"/>
      <c r="AN106" s="226"/>
      <c r="AO106" s="226"/>
      <c r="AP106" s="226"/>
      <c r="AQ106" s="226"/>
    </row>
    <row r="107" spans="1:43">
      <c r="A107" s="221"/>
      <c r="B107" s="363" t="s">
        <v>346</v>
      </c>
      <c r="C107" s="264" t="s">
        <v>19</v>
      </c>
      <c r="D107" s="374">
        <f t="shared" si="15"/>
        <v>0</v>
      </c>
      <c r="E107" s="71"/>
      <c r="F107" s="352"/>
      <c r="G107" s="352"/>
      <c r="H107" s="352"/>
      <c r="I107" s="352"/>
      <c r="J107" s="352"/>
      <c r="K107" s="352"/>
      <c r="L107" s="352"/>
      <c r="M107" s="352"/>
      <c r="N107" s="352"/>
      <c r="O107" s="352"/>
      <c r="P107" s="71"/>
      <c r="Q107" s="162"/>
      <c r="R107" s="71"/>
      <c r="S107" s="71"/>
      <c r="T107" s="124"/>
      <c r="U107" s="137"/>
      <c r="V107" s="137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447"/>
      <c r="AG107" s="475"/>
      <c r="AH107" s="458"/>
      <c r="AI107" s="226"/>
      <c r="AJ107" s="226"/>
      <c r="AK107" s="226"/>
      <c r="AL107" s="226"/>
      <c r="AM107" s="226"/>
      <c r="AN107" s="226"/>
      <c r="AO107" s="226"/>
      <c r="AP107" s="226"/>
      <c r="AQ107" s="226"/>
    </row>
    <row r="108" spans="1:43" ht="30">
      <c r="A108" s="221" t="str">
        <f t="array" aca="1" ref="A108" ca="1">HYPERLINK(CELL("адрес",НалИмущество!A19),"источник")</f>
        <v>источник</v>
      </c>
      <c r="B108" s="363" t="s">
        <v>344</v>
      </c>
      <c r="C108" s="264" t="s">
        <v>19</v>
      </c>
      <c r="D108" s="374">
        <f t="shared" si="15"/>
        <v>0</v>
      </c>
      <c r="E108" s="71"/>
      <c r="F108" s="352">
        <f>-НалИмущество!F19</f>
        <v>0</v>
      </c>
      <c r="G108" s="352">
        <f>-НалИмущество!G19</f>
        <v>0</v>
      </c>
      <c r="H108" s="352">
        <f>-НалИмущество!H19</f>
        <v>0</v>
      </c>
      <c r="I108" s="352">
        <f>-НалИмущество!I19</f>
        <v>0</v>
      </c>
      <c r="J108" s="352">
        <f>-НалИмущество!J19</f>
        <v>0</v>
      </c>
      <c r="K108" s="352">
        <f>-НалИмущество!K19</f>
        <v>0</v>
      </c>
      <c r="L108" s="352">
        <f>-НалИмущество!L19</f>
        <v>0</v>
      </c>
      <c r="M108" s="352">
        <f>-НалИмущество!M19</f>
        <v>0</v>
      </c>
      <c r="N108" s="352">
        <f>-НалИмущество!N19</f>
        <v>0</v>
      </c>
      <c r="O108" s="352">
        <f>-НалИмущество!O19</f>
        <v>0</v>
      </c>
      <c r="P108" s="71"/>
      <c r="Q108" s="162"/>
      <c r="R108" s="71"/>
      <c r="S108" s="71"/>
      <c r="T108" s="124"/>
      <c r="U108" s="137"/>
      <c r="V108" s="137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447"/>
      <c r="AG108" s="475"/>
      <c r="AH108" s="458"/>
      <c r="AI108" s="226"/>
      <c r="AJ108" s="226"/>
      <c r="AK108" s="226"/>
      <c r="AL108" s="226"/>
      <c r="AM108" s="226"/>
      <c r="AN108" s="226"/>
      <c r="AO108" s="226"/>
      <c r="AP108" s="226"/>
      <c r="AQ108" s="226"/>
    </row>
    <row r="109" spans="1:43" ht="29.25" thickBot="1">
      <c r="A109" s="146"/>
      <c r="B109" s="359" t="s">
        <v>95</v>
      </c>
      <c r="C109" s="264" t="s">
        <v>19</v>
      </c>
      <c r="D109" s="350">
        <f ca="1">D101+SUM(D103:D108)</f>
        <v>163153.24653028321</v>
      </c>
      <c r="E109" s="71"/>
      <c r="F109" s="350">
        <f t="shared" ref="F109:O109" ca="1" si="17">F101+SUM(F103:F108)</f>
        <v>2602.4799999999959</v>
      </c>
      <c r="G109" s="350">
        <f t="shared" ca="1" si="17"/>
        <v>6203.4188800000047</v>
      </c>
      <c r="H109" s="350">
        <f t="shared" ca="1" si="17"/>
        <v>11159.258337280009</v>
      </c>
      <c r="I109" s="350">
        <f t="shared" ca="1" si="17"/>
        <v>17615.298724167722</v>
      </c>
      <c r="J109" s="350">
        <f t="shared" ca="1" si="17"/>
        <v>21048.559625521113</v>
      </c>
      <c r="K109" s="350">
        <f t="shared" ca="1" si="17"/>
        <v>21065.843386182274</v>
      </c>
      <c r="L109" s="350">
        <f t="shared" ca="1" si="17"/>
        <v>21037.63761430575</v>
      </c>
      <c r="M109" s="350">
        <f t="shared" ca="1" si="17"/>
        <v>20959.536599144034</v>
      </c>
      <c r="N109" s="350">
        <f t="shared" ca="1" si="17"/>
        <v>20826.81357827074</v>
      </c>
      <c r="O109" s="350">
        <f t="shared" ca="1" si="17"/>
        <v>20634.399785411562</v>
      </c>
      <c r="P109" s="71"/>
      <c r="Q109" s="162"/>
      <c r="R109" s="71"/>
      <c r="S109" s="71"/>
      <c r="T109" s="124"/>
      <c r="U109" s="137"/>
      <c r="V109" s="137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447"/>
      <c r="AG109" s="475"/>
      <c r="AH109" s="458"/>
      <c r="AI109" s="226"/>
      <c r="AJ109" s="226"/>
      <c r="AK109" s="226"/>
      <c r="AL109" s="226"/>
      <c r="AM109" s="226"/>
      <c r="AN109" s="226"/>
      <c r="AO109" s="226"/>
      <c r="AP109" s="226"/>
      <c r="AQ109" s="226"/>
    </row>
    <row r="110" spans="1:43" ht="30">
      <c r="A110" s="146"/>
      <c r="B110" s="362" t="s">
        <v>96</v>
      </c>
      <c r="C110" s="369" t="s">
        <v>27</v>
      </c>
      <c r="D110" s="373">
        <f ca="1">IFERROR(D109/D89,"-")</f>
        <v>0.1046774051071791</v>
      </c>
      <c r="E110" s="71"/>
      <c r="F110" s="351">
        <f t="shared" ref="F110:O110" ca="1" si="18">IFERROR(F109/F89,"-")</f>
        <v>2.3658909090909053E-2</v>
      </c>
      <c r="G110" s="351">
        <f t="shared" ca="1" si="18"/>
        <v>5.1420912466843542E-2</v>
      </c>
      <c r="H110" s="351">
        <f t="shared" ca="1" si="18"/>
        <v>8.4568537937724383E-2</v>
      </c>
      <c r="I110" s="351">
        <f t="shared" ca="1" si="18"/>
        <v>0.11863588199004177</v>
      </c>
      <c r="J110" s="351">
        <f t="shared" ca="1" si="18"/>
        <v>0.13327701468914457</v>
      </c>
      <c r="K110" s="351">
        <f t="shared" ca="1" si="18"/>
        <v>0.1282562052285216</v>
      </c>
      <c r="L110" s="351">
        <f t="shared" ca="1" si="18"/>
        <v>0.12315815254542757</v>
      </c>
      <c r="M110" s="351">
        <f t="shared" ca="1" si="18"/>
        <v>0.11798166828259365</v>
      </c>
      <c r="N110" s="351">
        <f t="shared" ca="1" si="18"/>
        <v>0.11272554580033146</v>
      </c>
      <c r="O110" s="351">
        <f t="shared" ca="1" si="18"/>
        <v>0.10738855989526541</v>
      </c>
      <c r="P110" s="71"/>
      <c r="Q110" s="71"/>
      <c r="R110" s="71"/>
      <c r="S110" s="71"/>
      <c r="T110" s="124"/>
      <c r="U110" s="137"/>
      <c r="V110" s="137"/>
      <c r="W110" s="226"/>
      <c r="X110" s="226"/>
      <c r="Y110" s="226"/>
      <c r="Z110" s="226"/>
      <c r="AA110" s="226"/>
      <c r="AB110" s="226"/>
      <c r="AC110" s="226"/>
      <c r="AD110" s="226"/>
      <c r="AE110" s="226"/>
      <c r="AF110" s="447"/>
      <c r="AG110" s="475"/>
      <c r="AH110" s="458"/>
      <c r="AI110" s="226"/>
      <c r="AJ110" s="226"/>
      <c r="AK110" s="226"/>
      <c r="AL110" s="226"/>
      <c r="AM110" s="226"/>
      <c r="AN110" s="226"/>
      <c r="AO110" s="226"/>
      <c r="AP110" s="226"/>
      <c r="AQ110" s="226"/>
    </row>
    <row r="111" spans="1:43" ht="30">
      <c r="A111" s="146"/>
      <c r="B111" s="491" t="s">
        <v>781</v>
      </c>
      <c r="C111" s="264" t="s">
        <v>19</v>
      </c>
      <c r="D111" s="374">
        <f ca="1">SUM(F111:O111)</f>
        <v>-5336.1255987897794</v>
      </c>
      <c r="E111" s="71"/>
      <c r="F111" s="226">
        <f t="shared" ref="F111:M111" ca="1" si="19">-F109*2%</f>
        <v>-52.04959999999992</v>
      </c>
      <c r="G111" s="226">
        <f t="shared" ca="1" si="19"/>
        <v>-124.06837760000009</v>
      </c>
      <c r="H111" s="226">
        <f t="shared" ca="1" si="19"/>
        <v>-223.18516674560018</v>
      </c>
      <c r="I111" s="226">
        <f t="shared" ca="1" si="19"/>
        <v>-352.30597448335442</v>
      </c>
      <c r="J111" s="226">
        <f t="shared" ca="1" si="19"/>
        <v>-420.97119251042227</v>
      </c>
      <c r="K111" s="226">
        <f t="shared" ca="1" si="19"/>
        <v>-421.31686772364549</v>
      </c>
      <c r="L111" s="226">
        <f t="shared" ca="1" si="19"/>
        <v>-420.75275228611503</v>
      </c>
      <c r="M111" s="226">
        <f t="shared" ca="1" si="19"/>
        <v>-419.19073198288066</v>
      </c>
      <c r="N111" s="226">
        <f ca="1">-N109*7%</f>
        <v>-1457.8769504789518</v>
      </c>
      <c r="O111" s="226">
        <f ca="1">-O109*7%</f>
        <v>-1444.4079849788095</v>
      </c>
      <c r="P111" s="71"/>
      <c r="Q111" s="71"/>
      <c r="R111" s="71"/>
      <c r="S111" s="71"/>
      <c r="T111" s="124"/>
      <c r="U111" s="137"/>
      <c r="V111" s="137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447"/>
      <c r="AG111" s="476"/>
      <c r="AH111" s="458"/>
      <c r="AI111" s="226"/>
      <c r="AJ111" s="226"/>
      <c r="AK111" s="226"/>
      <c r="AL111" s="226"/>
      <c r="AM111" s="226"/>
      <c r="AN111" s="226"/>
      <c r="AO111" s="226"/>
      <c r="AP111" s="226"/>
      <c r="AQ111" s="226"/>
    </row>
    <row r="112" spans="1:43" ht="15.75" thickBot="1">
      <c r="A112" s="146"/>
      <c r="B112" s="359" t="s">
        <v>100</v>
      </c>
      <c r="C112" s="264" t="s">
        <v>19</v>
      </c>
      <c r="D112" s="350">
        <f ca="1">D109+D111</f>
        <v>157817.12093149344</v>
      </c>
      <c r="E112" s="71"/>
      <c r="F112" s="350">
        <f t="shared" ref="F112:O112" ca="1" si="20">F109+F111</f>
        <v>2550.4303999999961</v>
      </c>
      <c r="G112" s="350">
        <f t="shared" ca="1" si="20"/>
        <v>6079.3505024000042</v>
      </c>
      <c r="H112" s="350">
        <f t="shared" ca="1" si="20"/>
        <v>10936.07317053441</v>
      </c>
      <c r="I112" s="350">
        <f t="shared" ca="1" si="20"/>
        <v>17262.992749684367</v>
      </c>
      <c r="J112" s="350">
        <f t="shared" ca="1" si="20"/>
        <v>20627.588433010689</v>
      </c>
      <c r="K112" s="350">
        <f t="shared" ca="1" si="20"/>
        <v>20644.526518458628</v>
      </c>
      <c r="L112" s="350">
        <f t="shared" ca="1" si="20"/>
        <v>20616.884862019633</v>
      </c>
      <c r="M112" s="350">
        <f t="shared" ca="1" si="20"/>
        <v>20540.345867161152</v>
      </c>
      <c r="N112" s="350">
        <f t="shared" ca="1" si="20"/>
        <v>19368.936627791787</v>
      </c>
      <c r="O112" s="350">
        <f t="shared" ca="1" si="20"/>
        <v>19189.991800432752</v>
      </c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</row>
    <row r="113" spans="1:15" ht="30">
      <c r="A113" s="146"/>
      <c r="B113" s="362" t="s">
        <v>98</v>
      </c>
      <c r="C113" s="369" t="s">
        <v>27</v>
      </c>
      <c r="D113" s="373">
        <f ca="1">IFERROR(D112/D89,"-")</f>
        <v>0.10125380310791622</v>
      </c>
      <c r="E113" s="71"/>
      <c r="F113" s="351">
        <f t="shared" ref="F113:O113" ca="1" si="21">IFERROR(F112/F89,"-")</f>
        <v>2.3185730909090874E-2</v>
      </c>
      <c r="G113" s="351">
        <f t="shared" ca="1" si="21"/>
        <v>5.0392494217506668E-2</v>
      </c>
      <c r="H113" s="351">
        <f t="shared" ca="1" si="21"/>
        <v>8.2877167178969896E-2</v>
      </c>
      <c r="I113" s="351">
        <f t="shared" ca="1" si="21"/>
        <v>0.11626316435024092</v>
      </c>
      <c r="J113" s="351">
        <f t="shared" ca="1" si="21"/>
        <v>0.13061147439536167</v>
      </c>
      <c r="K113" s="351">
        <f t="shared" ca="1" si="21"/>
        <v>0.12569108112395116</v>
      </c>
      <c r="L113" s="351">
        <f t="shared" ca="1" si="21"/>
        <v>0.12069498949451901</v>
      </c>
      <c r="M113" s="351">
        <f t="shared" ca="1" si="21"/>
        <v>0.11562203491694177</v>
      </c>
      <c r="N113" s="351">
        <f t="shared" ca="1" si="21"/>
        <v>0.10483475759430826</v>
      </c>
      <c r="O113" s="351">
        <f t="shared" ca="1" si="21"/>
        <v>9.9871360702596834E-2</v>
      </c>
    </row>
    <row r="114" spans="1:15">
      <c r="A114" s="146"/>
      <c r="B114" s="173"/>
      <c r="C114" s="370"/>
      <c r="D114" s="375"/>
      <c r="E114" s="71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</row>
    <row r="115" spans="1:15" ht="15.75" thickBot="1">
      <c r="A115" s="146"/>
      <c r="B115" s="359" t="s">
        <v>102</v>
      </c>
      <c r="C115" s="264" t="s">
        <v>19</v>
      </c>
      <c r="D115" s="350">
        <f ca="1">D109-D94-D103-D104</f>
        <v>163153.24653028321</v>
      </c>
      <c r="E115" s="71"/>
      <c r="F115" s="350">
        <f t="shared" ref="F115:O115" ca="1" si="22">F109-F94-F103-F104</f>
        <v>2602.4799999999959</v>
      </c>
      <c r="G115" s="350">
        <f t="shared" ca="1" si="22"/>
        <v>6203.4188800000047</v>
      </c>
      <c r="H115" s="350">
        <f t="shared" ca="1" si="22"/>
        <v>11159.258337280009</v>
      </c>
      <c r="I115" s="350">
        <f t="shared" ca="1" si="22"/>
        <v>17615.298724167722</v>
      </c>
      <c r="J115" s="350">
        <f t="shared" ca="1" si="22"/>
        <v>21048.559625521113</v>
      </c>
      <c r="K115" s="350">
        <f t="shared" ca="1" si="22"/>
        <v>21065.843386182274</v>
      </c>
      <c r="L115" s="350">
        <f t="shared" ca="1" si="22"/>
        <v>21037.63761430575</v>
      </c>
      <c r="M115" s="350">
        <f t="shared" ca="1" si="22"/>
        <v>20959.536599144034</v>
      </c>
      <c r="N115" s="350">
        <f t="shared" ca="1" si="22"/>
        <v>20826.81357827074</v>
      </c>
      <c r="O115" s="350">
        <f t="shared" ca="1" si="22"/>
        <v>20634.399785411562</v>
      </c>
    </row>
    <row r="116" spans="1:15">
      <c r="A116" s="146"/>
      <c r="B116" s="362" t="s">
        <v>103</v>
      </c>
      <c r="C116" s="369" t="s">
        <v>27</v>
      </c>
      <c r="D116" s="373">
        <f ca="1">IFERROR(D115/D89,"-")</f>
        <v>0.1046774051071791</v>
      </c>
      <c r="E116" s="71"/>
      <c r="F116" s="351">
        <f t="shared" ref="F116:O116" ca="1" si="23">IFERROR(F115/F89,"-")</f>
        <v>2.3658909090909053E-2</v>
      </c>
      <c r="G116" s="351">
        <f t="shared" ca="1" si="23"/>
        <v>5.1420912466843542E-2</v>
      </c>
      <c r="H116" s="351">
        <f t="shared" ca="1" si="23"/>
        <v>8.4568537937724383E-2</v>
      </c>
      <c r="I116" s="351">
        <f t="shared" ca="1" si="23"/>
        <v>0.11863588199004177</v>
      </c>
      <c r="J116" s="351">
        <f t="shared" ca="1" si="23"/>
        <v>0.13327701468914457</v>
      </c>
      <c r="K116" s="351">
        <f t="shared" ca="1" si="23"/>
        <v>0.1282562052285216</v>
      </c>
      <c r="L116" s="351">
        <f t="shared" ca="1" si="23"/>
        <v>0.12315815254542757</v>
      </c>
      <c r="M116" s="351">
        <f t="shared" ca="1" si="23"/>
        <v>0.11798166828259365</v>
      </c>
      <c r="N116" s="351">
        <f t="shared" ca="1" si="23"/>
        <v>0.11272554580033146</v>
      </c>
      <c r="O116" s="351">
        <f t="shared" ca="1" si="23"/>
        <v>0.10738855989526541</v>
      </c>
    </row>
    <row r="117" spans="1:15">
      <c r="A117" s="146"/>
      <c r="B117" s="164"/>
      <c r="C117" s="370"/>
      <c r="D117" s="375"/>
      <c r="E117" s="71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</row>
    <row r="118" spans="1:15" ht="45">
      <c r="A118" s="146"/>
      <c r="B118" s="91" t="s">
        <v>173</v>
      </c>
      <c r="C118" s="264"/>
      <c r="D118" s="374"/>
      <c r="E118" s="71"/>
      <c r="F118" s="226">
        <f ca="1">F112</f>
        <v>2550.4303999999961</v>
      </c>
      <c r="G118" s="226">
        <f t="shared" ref="G118:O118" ca="1" si="24">F118+G112</f>
        <v>8629.7809023999998</v>
      </c>
      <c r="H118" s="226">
        <f t="shared" ca="1" si="24"/>
        <v>19565.854072934409</v>
      </c>
      <c r="I118" s="226">
        <f t="shared" ca="1" si="24"/>
        <v>36828.846822618776</v>
      </c>
      <c r="J118" s="226">
        <f t="shared" ca="1" si="24"/>
        <v>57456.435255629462</v>
      </c>
      <c r="K118" s="226">
        <f t="shared" ca="1" si="24"/>
        <v>78100.961774088093</v>
      </c>
      <c r="L118" s="226">
        <f t="shared" ca="1" si="24"/>
        <v>98717.84663610773</v>
      </c>
      <c r="M118" s="226">
        <f t="shared" ca="1" si="24"/>
        <v>119258.19250326889</v>
      </c>
      <c r="N118" s="226">
        <f t="shared" ca="1" si="24"/>
        <v>138627.12913106068</v>
      </c>
      <c r="O118" s="226">
        <f t="shared" ca="1" si="24"/>
        <v>157817.12093149344</v>
      </c>
    </row>
    <row r="119" spans="1:15">
      <c r="A119" s="71"/>
      <c r="B119" s="164"/>
      <c r="C119" s="367"/>
      <c r="D119" s="124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</row>
    <row r="120" spans="1:15" ht="18.75">
      <c r="A120" s="482" t="s">
        <v>600</v>
      </c>
      <c r="B120" s="164"/>
      <c r="C120" s="367"/>
      <c r="D120" s="124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</row>
    <row r="121" spans="1:15">
      <c r="A121" s="71" t="str">
        <f>Паспорт_ФМ_резидент!$B$7</f>
        <v>Разработка, производство, модернизация и реализация …</v>
      </c>
      <c r="B121" s="164"/>
      <c r="C121" s="391"/>
      <c r="D121" s="71"/>
      <c r="E121" s="71"/>
      <c r="F121" s="126">
        <v>1</v>
      </c>
      <c r="G121" s="126">
        <v>2</v>
      </c>
      <c r="H121" s="126">
        <v>3</v>
      </c>
      <c r="I121" s="126">
        <v>4</v>
      </c>
      <c r="J121" s="126">
        <v>5</v>
      </c>
      <c r="K121" s="126">
        <v>6</v>
      </c>
      <c r="L121" s="126">
        <v>7</v>
      </c>
      <c r="M121" s="126">
        <v>8</v>
      </c>
      <c r="N121" s="126">
        <v>9</v>
      </c>
      <c r="O121" s="126">
        <v>10</v>
      </c>
    </row>
    <row r="122" spans="1:15">
      <c r="A122" s="380" t="s">
        <v>600</v>
      </c>
      <c r="B122" s="230" t="s">
        <v>3</v>
      </c>
      <c r="C122" s="127" t="s">
        <v>12</v>
      </c>
      <c r="D122" s="194" t="e">
        <f>CONCATENATE("Итого ",F122,"-",O122)</f>
        <v>#VALUE!</v>
      </c>
      <c r="E122" s="152"/>
      <c r="F122" s="127" t="e">
        <f>YEAR(Паспорт_ФМ_резидент!C36)</f>
        <v>#VALUE!</v>
      </c>
      <c r="G122" s="127" t="e">
        <f t="shared" ref="G122:O122" si="25">F122+1</f>
        <v>#VALUE!</v>
      </c>
      <c r="H122" s="127" t="e">
        <f t="shared" si="25"/>
        <v>#VALUE!</v>
      </c>
      <c r="I122" s="127" t="e">
        <f t="shared" si="25"/>
        <v>#VALUE!</v>
      </c>
      <c r="J122" s="127" t="e">
        <f t="shared" si="25"/>
        <v>#VALUE!</v>
      </c>
      <c r="K122" s="127" t="e">
        <f t="shared" si="25"/>
        <v>#VALUE!</v>
      </c>
      <c r="L122" s="127" t="e">
        <f t="shared" si="25"/>
        <v>#VALUE!</v>
      </c>
      <c r="M122" s="127" t="e">
        <f t="shared" si="25"/>
        <v>#VALUE!</v>
      </c>
      <c r="N122" s="127" t="e">
        <f t="shared" si="25"/>
        <v>#VALUE!</v>
      </c>
      <c r="O122" s="127" t="e">
        <f t="shared" si="25"/>
        <v>#VALUE!</v>
      </c>
    </row>
    <row r="123" spans="1:15">
      <c r="A123" s="381"/>
      <c r="B123" s="258"/>
      <c r="C123" s="128"/>
      <c r="D123" s="128"/>
      <c r="E123" s="71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</row>
    <row r="124" spans="1:15" ht="30">
      <c r="A124" s="206"/>
      <c r="B124" s="91" t="s">
        <v>85</v>
      </c>
      <c r="C124" s="264" t="s">
        <v>19</v>
      </c>
      <c r="D124" s="394">
        <v>0</v>
      </c>
      <c r="E124" s="71"/>
      <c r="F124" s="225">
        <v>0</v>
      </c>
      <c r="G124" s="225">
        <f t="shared" ref="G124:O124" ca="1" si="26">F177</f>
        <v>8770.4303999999975</v>
      </c>
      <c r="H124" s="225">
        <f t="shared" ca="1" si="26"/>
        <v>10398.580902400034</v>
      </c>
      <c r="I124" s="225">
        <f t="shared" ca="1" si="26"/>
        <v>15948.286072934454</v>
      </c>
      <c r="J124" s="225">
        <f t="shared" ca="1" si="26"/>
        <v>26822.051302618813</v>
      </c>
      <c r="K124" s="225">
        <f t="shared" ca="1" si="26"/>
        <v>40278.406762829458</v>
      </c>
      <c r="L124" s="225">
        <f t="shared" ca="1" si="26"/>
        <v>63464.85098957608</v>
      </c>
      <c r="M124" s="225">
        <f t="shared" ca="1" si="26"/>
        <v>76325.330268215243</v>
      </c>
      <c r="N124" s="225">
        <f t="shared" ca="1" si="26"/>
        <v>88799.014328660676</v>
      </c>
      <c r="O124" s="225">
        <f t="shared" ca="1" si="26"/>
        <v>99778.622677468171</v>
      </c>
    </row>
    <row r="125" spans="1:15">
      <c r="A125" s="382" t="s">
        <v>69</v>
      </c>
      <c r="B125" s="92"/>
      <c r="C125" s="392"/>
      <c r="D125" s="395"/>
      <c r="E125" s="71"/>
      <c r="F125" s="377"/>
      <c r="G125" s="377"/>
      <c r="H125" s="377"/>
      <c r="I125" s="377"/>
      <c r="J125" s="377"/>
      <c r="K125" s="377"/>
      <c r="L125" s="377"/>
      <c r="M125" s="377"/>
      <c r="N125" s="377"/>
      <c r="O125" s="377"/>
    </row>
    <row r="126" spans="1:15">
      <c r="A126" s="383"/>
      <c r="B126" s="361" t="s">
        <v>72</v>
      </c>
      <c r="C126" s="264" t="s">
        <v>19</v>
      </c>
      <c r="D126" s="223">
        <f>SUM(D127:D128)</f>
        <v>1636560.5230793813</v>
      </c>
      <c r="E126" s="71"/>
      <c r="F126" s="223">
        <f t="shared" ref="F126:O126" si="27">SUM(F127:F128)</f>
        <v>115500</v>
      </c>
      <c r="G126" s="223">
        <f t="shared" si="27"/>
        <v>126672</v>
      </c>
      <c r="H126" s="223">
        <f t="shared" si="27"/>
        <v>138552.96000000002</v>
      </c>
      <c r="I126" s="223">
        <f t="shared" si="27"/>
        <v>155906.15040000004</v>
      </c>
      <c r="J126" s="223">
        <f t="shared" si="27"/>
        <v>165827.45088000005</v>
      </c>
      <c r="K126" s="223">
        <f t="shared" si="27"/>
        <v>172460.54891520005</v>
      </c>
      <c r="L126" s="223">
        <f t="shared" si="27"/>
        <v>179358.97087180807</v>
      </c>
      <c r="M126" s="223">
        <f t="shared" si="27"/>
        <v>186533.32970668035</v>
      </c>
      <c r="N126" s="223">
        <f t="shared" si="27"/>
        <v>193994.66289494757</v>
      </c>
      <c r="O126" s="223">
        <f t="shared" si="27"/>
        <v>201754.4494107455</v>
      </c>
    </row>
    <row r="127" spans="1:15">
      <c r="A127" s="255" t="str">
        <f t="array" aca="1" ref="A127" ca="1">HYPERLINK(CELL("адрес",Выручка!A46),"источник")</f>
        <v>источник</v>
      </c>
      <c r="B127" s="492" t="s">
        <v>67</v>
      </c>
      <c r="C127" s="264" t="s">
        <v>19</v>
      </c>
      <c r="D127" s="244">
        <f>SUM(F127:O127)</f>
        <v>1636560.5230793813</v>
      </c>
      <c r="E127" s="71"/>
      <c r="F127" s="225">
        <f>Выручка!F10*(1+$D$6)</f>
        <v>115500</v>
      </c>
      <c r="G127" s="225">
        <f>Выручка!G10*(1+$D$6)</f>
        <v>126672</v>
      </c>
      <c r="H127" s="225">
        <f>Выручка!H10*(1+$D$6)</f>
        <v>138552.96000000002</v>
      </c>
      <c r="I127" s="225">
        <f>Выручка!I10*(1+$D$6)</f>
        <v>155906.15040000004</v>
      </c>
      <c r="J127" s="225">
        <f>Выручка!J10*(1+$D$6)</f>
        <v>165827.45088000005</v>
      </c>
      <c r="K127" s="225">
        <f>Выручка!K10*(1+$D$6)</f>
        <v>172460.54891520005</v>
      </c>
      <c r="L127" s="225">
        <f>Выручка!L10*(1+$D$6)</f>
        <v>179358.97087180807</v>
      </c>
      <c r="M127" s="225">
        <f>Выручка!M10*(1+$D$6)</f>
        <v>186533.32970668035</v>
      </c>
      <c r="N127" s="225">
        <f>Выручка!N10*(1+$D$6)</f>
        <v>193994.66289494757</v>
      </c>
      <c r="O127" s="225">
        <f>Выручка!O10*(1+$D$6)</f>
        <v>201754.4494107455</v>
      </c>
    </row>
    <row r="128" spans="1:15" ht="30">
      <c r="A128" s="255" t="str">
        <f t="array" aca="1" ref="A128" ca="1">HYPERLINK(CELL("адрес",ПрочДоходы!A41),"источник")</f>
        <v>источник</v>
      </c>
      <c r="B128" s="492" t="s">
        <v>277</v>
      </c>
      <c r="C128" s="264" t="s">
        <v>19</v>
      </c>
      <c r="D128" s="244">
        <f>SUM(F128:O128)</f>
        <v>0</v>
      </c>
      <c r="E128" s="71"/>
      <c r="F128" s="225">
        <f>ПрочДоходы!F5</f>
        <v>0</v>
      </c>
      <c r="G128" s="225">
        <f>ПрочДоходы!G5</f>
        <v>0</v>
      </c>
      <c r="H128" s="225">
        <f>ПрочДоходы!H5</f>
        <v>0</v>
      </c>
      <c r="I128" s="225">
        <f>ПрочДоходы!I5</f>
        <v>0</v>
      </c>
      <c r="J128" s="225">
        <f>ПрочДоходы!J5</f>
        <v>0</v>
      </c>
      <c r="K128" s="225">
        <f>ПрочДоходы!K5</f>
        <v>0</v>
      </c>
      <c r="L128" s="225">
        <f>ПрочДоходы!L5</f>
        <v>0</v>
      </c>
      <c r="M128" s="225">
        <f>ПрочДоходы!M5</f>
        <v>0</v>
      </c>
      <c r="N128" s="225">
        <f>ПрочДоходы!N5</f>
        <v>0</v>
      </c>
      <c r="O128" s="225">
        <f>ПрочДоходы!O5</f>
        <v>0</v>
      </c>
    </row>
    <row r="129" spans="1:43">
      <c r="A129" s="384"/>
      <c r="B129" s="493"/>
      <c r="C129" s="264" t="s">
        <v>19</v>
      </c>
      <c r="D129" s="396"/>
      <c r="E129" s="71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</row>
    <row r="130" spans="1:43">
      <c r="A130" s="383"/>
      <c r="B130" s="361" t="s">
        <v>73</v>
      </c>
      <c r="C130" s="264" t="s">
        <v>19</v>
      </c>
      <c r="D130" s="223">
        <f ca="1">SUM(D131:D145)</f>
        <v>-1546316.8100116246</v>
      </c>
      <c r="E130" s="71"/>
      <c r="F130" s="223">
        <f ca="1">SUM(F131:F145)</f>
        <v>-116729.5696</v>
      </c>
      <c r="G130" s="223">
        <f t="shared" ref="G130:O130" ca="1" si="28">SUM(G131:G145)</f>
        <v>-125043.84949759998</v>
      </c>
      <c r="H130" s="223">
        <f t="shared" ca="1" si="28"/>
        <v>-133003.25482946559</v>
      </c>
      <c r="I130" s="223">
        <f t="shared" ca="1" si="28"/>
        <v>-145032.38517031568</v>
      </c>
      <c r="J130" s="223">
        <f t="shared" ca="1" si="28"/>
        <v>-152371.0954197894</v>
      </c>
      <c r="K130" s="223">
        <f t="shared" ca="1" si="28"/>
        <v>-159274.10468845343</v>
      </c>
      <c r="L130" s="223">
        <f t="shared" ca="1" si="28"/>
        <v>-166498.4915931689</v>
      </c>
      <c r="M130" s="223">
        <f t="shared" ca="1" si="28"/>
        <v>-174059.64564623492</v>
      </c>
      <c r="N130" s="223">
        <f t="shared" ca="1" si="28"/>
        <v>-183015.05454614008</v>
      </c>
      <c r="O130" s="223">
        <f t="shared" ca="1" si="28"/>
        <v>-191289.35902045641</v>
      </c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</row>
    <row r="131" spans="1:43">
      <c r="A131" s="255" t="str">
        <f t="array" aca="1" ref="A131" ca="1">HYPERLINK(CELL("адрес",Себестоимость!A44),"источник")</f>
        <v>источник</v>
      </c>
      <c r="B131" s="492" t="s">
        <v>242</v>
      </c>
      <c r="C131" s="264" t="s">
        <v>19</v>
      </c>
      <c r="D131" s="244">
        <f t="shared" ref="D131:D137" si="29">SUM(F131:O131)</f>
        <v>-619797.2775168058</v>
      </c>
      <c r="E131" s="71"/>
      <c r="F131" s="225">
        <f>-Себестоимость!F9*(1+$D$7)</f>
        <v>-46000</v>
      </c>
      <c r="G131" s="225">
        <f>-Себестоимость!G9*(1+$D$7)</f>
        <v>-49920</v>
      </c>
      <c r="H131" s="225">
        <f>-Себестоимость!H9*(1+$D$7)</f>
        <v>-52998.399999999994</v>
      </c>
      <c r="I131" s="225">
        <f>-Себестоимость!I9*(1+$D$7)</f>
        <v>-59617.792000000001</v>
      </c>
      <c r="J131" s="225">
        <f>-Себестоимость!J9*(1+$D$7)</f>
        <v>-62002.503680000009</v>
      </c>
      <c r="K131" s="225">
        <f>-Себестоимость!K9*(1+$D$7)</f>
        <v>-64482.603827200001</v>
      </c>
      <c r="L131" s="225">
        <f>-Себестоимость!L9*(1+$D$7)</f>
        <v>-67061.907980288015</v>
      </c>
      <c r="M131" s="225">
        <f>-Себестоимость!M9*(1+$D$7)</f>
        <v>-69744.384299499536</v>
      </c>
      <c r="N131" s="225">
        <f>-Себестоимость!N9*(1+$D$7)</f>
        <v>-72534.159671479516</v>
      </c>
      <c r="O131" s="225">
        <f>-Себестоимость!O9*(1+$D$7)</f>
        <v>-75435.526058338699</v>
      </c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</row>
    <row r="132" spans="1:43">
      <c r="A132" s="255" t="str">
        <f t="array" aca="1" ref="A132" ca="1">HYPERLINK(CELL("адрес",Ресурсы!A42),"источник")</f>
        <v>источник</v>
      </c>
      <c r="B132" s="492" t="s">
        <v>251</v>
      </c>
      <c r="C132" s="264" t="s">
        <v>19</v>
      </c>
      <c r="D132" s="244">
        <f t="shared" si="29"/>
        <v>0</v>
      </c>
      <c r="E132" s="71"/>
      <c r="F132" s="225">
        <f>-Ресурсы!F7*(1+$D$7)</f>
        <v>0</v>
      </c>
      <c r="G132" s="225">
        <f>-Ресурсы!G7*(1+$D$7)</f>
        <v>0</v>
      </c>
      <c r="H132" s="225">
        <f>-Ресурсы!H7*(1+$D$7)</f>
        <v>0</v>
      </c>
      <c r="I132" s="225">
        <f>-Ресурсы!I7*(1+$D$7)</f>
        <v>0</v>
      </c>
      <c r="J132" s="225">
        <f>-Ресурсы!J7*(1+$D$7)</f>
        <v>0</v>
      </c>
      <c r="K132" s="225">
        <f>-Ресурсы!K7*(1+$D$7)</f>
        <v>0</v>
      </c>
      <c r="L132" s="225">
        <f>-Ресурсы!L7*(1+$D$7)</f>
        <v>0</v>
      </c>
      <c r="M132" s="225">
        <f>-Ресурсы!M7*(1+$D$7)</f>
        <v>0</v>
      </c>
      <c r="N132" s="225">
        <f>-Ресурсы!N7*(1+$D$7)</f>
        <v>0</v>
      </c>
      <c r="O132" s="225">
        <f>-Ресурсы!O7*(1+$D$7)</f>
        <v>0</v>
      </c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</row>
    <row r="133" spans="1:43">
      <c r="A133" s="255" t="str">
        <f t="array" aca="1" ref="A133" ca="1">HYPERLINK(CELL("адрес",Персонал!A90),"источник")</f>
        <v>источник</v>
      </c>
      <c r="B133" s="492" t="s">
        <v>158</v>
      </c>
      <c r="C133" s="264" t="s">
        <v>19</v>
      </c>
      <c r="D133" s="244">
        <f t="shared" si="29"/>
        <v>-433509.60627406067</v>
      </c>
      <c r="E133" s="71"/>
      <c r="F133" s="225">
        <f>-Персонал!F56*(1+$D$7)</f>
        <v>-33512.400000000001</v>
      </c>
      <c r="G133" s="225">
        <f>-Персонал!G56*(1+$D$7)</f>
        <v>-35389.094400000002</v>
      </c>
      <c r="H133" s="225">
        <f>-Персонал!H56*(1+$D$7)</f>
        <v>-37370.883686400004</v>
      </c>
      <c r="I133" s="225">
        <f>-Персонал!I56*(1+$D$7)</f>
        <v>-39463.6531728384</v>
      </c>
      <c r="J133" s="225">
        <f>-Персонал!J56*(1+$D$7)</f>
        <v>-41673.617750517362</v>
      </c>
      <c r="K133" s="225">
        <f>-Персонал!K56*(1+$D$7)</f>
        <v>-44007.340344546334</v>
      </c>
      <c r="L133" s="225">
        <f>-Персонал!L56*(1+$D$7)</f>
        <v>-46471.751403840928</v>
      </c>
      <c r="M133" s="225">
        <f>-Персонал!M56*(1+$D$7)</f>
        <v>-49074.169482456018</v>
      </c>
      <c r="N133" s="225">
        <f>-Персонал!N56*(1+$D$7)</f>
        <v>-51822.322973473558</v>
      </c>
      <c r="O133" s="225">
        <f>-Персонал!O56*(1+$D$7)</f>
        <v>-54724.37305998808</v>
      </c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</row>
    <row r="134" spans="1:43">
      <c r="A134" s="255" t="str">
        <f t="array" aca="1" ref="A134" ca="1">HYPERLINK(CELL("адрес",Персонал!A65),"источник")</f>
        <v>источник</v>
      </c>
      <c r="B134" s="492" t="s">
        <v>157</v>
      </c>
      <c r="C134" s="264" t="s">
        <v>19</v>
      </c>
      <c r="D134" s="244">
        <f t="shared" si="29"/>
        <v>-37869.804686009898</v>
      </c>
      <c r="E134" s="71"/>
      <c r="F134" s="225">
        <f>-Персонал!F38*(1+$D$7)</f>
        <v>-2927.52</v>
      </c>
      <c r="G134" s="225">
        <f>-Персонал!G38*(1+$D$7)</f>
        <v>-3091.4611199999999</v>
      </c>
      <c r="H134" s="225">
        <f>-Персонал!H38*(1+$D$7)</f>
        <v>-3264.5829427200006</v>
      </c>
      <c r="I134" s="225">
        <f>-Персонал!I38*(1+$D$7)</f>
        <v>-3447.3995875123201</v>
      </c>
      <c r="J134" s="225">
        <f>-Персонал!J38*(1+$D$7)</f>
        <v>-3640.4539644130109</v>
      </c>
      <c r="K134" s="225">
        <f>-Персонал!K38*(1+$D$7)</f>
        <v>-3844.3193864201394</v>
      </c>
      <c r="L134" s="225">
        <f>-Персонал!L38*(1+$D$7)</f>
        <v>-4059.6012720596673</v>
      </c>
      <c r="M134" s="225">
        <f>-Персонал!M38*(1+$D$7)</f>
        <v>-4286.9389432950084</v>
      </c>
      <c r="N134" s="225">
        <f>-Персонал!N38*(1+$D$7)</f>
        <v>-4527.0075241195291</v>
      </c>
      <c r="O134" s="225">
        <f>-Персонал!O38*(1+$D$7)</f>
        <v>-4780.5199454702233</v>
      </c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</row>
    <row r="135" spans="1:43">
      <c r="A135" s="255" t="str">
        <f t="array" aca="1" ref="A135" ca="1">HYPERLINK(CELL("адрес",Персонал!A85),"источник")</f>
        <v>источник</v>
      </c>
      <c r="B135" s="492" t="s">
        <v>68</v>
      </c>
      <c r="C135" s="264" t="s">
        <v>19</v>
      </c>
      <c r="D135" s="244">
        <f t="shared" si="29"/>
        <v>-64777.297489227465</v>
      </c>
      <c r="E135" s="71"/>
      <c r="F135" s="225">
        <f>-Персонал!F51*(1+$D$7)</f>
        <v>-5007.5999999999995</v>
      </c>
      <c r="G135" s="225">
        <f>-Персонал!G51*(1+$D$7)</f>
        <v>-5288.0256000000008</v>
      </c>
      <c r="H135" s="225">
        <f>-Персонал!H51*(1+$D$7)</f>
        <v>-5584.1550336</v>
      </c>
      <c r="I135" s="225">
        <f>-Персонал!I51*(1+$D$7)</f>
        <v>-5896.8677154815996</v>
      </c>
      <c r="J135" s="225">
        <f>-Персонал!J51*(1+$D$7)</f>
        <v>-6227.0923075485716</v>
      </c>
      <c r="K135" s="225">
        <f>-Персонал!K51*(1+$D$7)</f>
        <v>-6575.8094767712919</v>
      </c>
      <c r="L135" s="225">
        <f>-Персонал!L51*(1+$D$7)</f>
        <v>-6944.0548074704839</v>
      </c>
      <c r="M135" s="225">
        <f>-Персонал!M51*(1+$D$7)</f>
        <v>-7332.9218766888307</v>
      </c>
      <c r="N135" s="225">
        <f>-Персонал!N51*(1+$D$7)</f>
        <v>-7743.5655017834051</v>
      </c>
      <c r="O135" s="225">
        <f>-Персонал!O51*(1+$D$7)</f>
        <v>-8177.2051698832765</v>
      </c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</row>
    <row r="136" spans="1:43">
      <c r="A136" s="255" t="str">
        <f t="array" aca="1" ref="A136" ca="1">HYPERLINK(CELL("адрес",ОбщПрРасходы!A48),"источник")</f>
        <v>источник</v>
      </c>
      <c r="B136" s="492" t="s">
        <v>266</v>
      </c>
      <c r="C136" s="264" t="s">
        <v>19</v>
      </c>
      <c r="D136" s="244">
        <f t="shared" si="29"/>
        <v>-84042.749860710202</v>
      </c>
      <c r="E136" s="71"/>
      <c r="F136" s="225">
        <f>-ОбщПрРасходы!F12*(1+$D$7)</f>
        <v>-7000</v>
      </c>
      <c r="G136" s="225">
        <f>-ОбщПрРасходы!G12*(1+$D$7)</f>
        <v>-7280</v>
      </c>
      <c r="H136" s="225">
        <f>-ОбщПрРасходы!H12*(1+$D$7)</f>
        <v>-7571.2000000000007</v>
      </c>
      <c r="I136" s="225">
        <f>-ОбщПрРасходы!I12*(1+$D$7)</f>
        <v>-7874.0480000000007</v>
      </c>
      <c r="J136" s="225">
        <f>-ОбщПрРасходы!J12*(1+$D$7)</f>
        <v>-8189.0099200000004</v>
      </c>
      <c r="K136" s="225">
        <f>-ОбщПрРасходы!K12*(1+$D$7)</f>
        <v>-8516.5703168000018</v>
      </c>
      <c r="L136" s="225">
        <f>-ОбщПрРасходы!L12*(1+$D$7)</f>
        <v>-8857.2331294720007</v>
      </c>
      <c r="M136" s="225">
        <f>-ОбщПрРасходы!M12*(1+$D$7)</f>
        <v>-9211.5224546508816</v>
      </c>
      <c r="N136" s="225">
        <f>-ОбщПрРасходы!N12*(1+$D$7)</f>
        <v>-9579.9833528369163</v>
      </c>
      <c r="O136" s="225">
        <f>-ОбщПрРасходы!O12*(1+$D$7)</f>
        <v>-9963.1826869503948</v>
      </c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</row>
    <row r="137" spans="1:43" ht="30">
      <c r="A137" s="255" t="str">
        <f t="array" aca="1" ref="A137" ca="1">HYPERLINK(CELL("адрес",АдмРасходы!A48),"источник")</f>
        <v>источник</v>
      </c>
      <c r="B137" s="492" t="s">
        <v>466</v>
      </c>
      <c r="C137" s="264" t="s">
        <v>19</v>
      </c>
      <c r="D137" s="244">
        <f t="shared" si="29"/>
        <v>-127264.73550336117</v>
      </c>
      <c r="E137" s="71"/>
      <c r="F137" s="225">
        <f>-АдмРасходы!F12*(1+$D$7)</f>
        <v>-10600</v>
      </c>
      <c r="G137" s="225">
        <f>-АдмРасходы!G12*(1+$D$7)</f>
        <v>-11024</v>
      </c>
      <c r="H137" s="225">
        <f>-АдмРасходы!H12*(1+$D$7)</f>
        <v>-11464.96</v>
      </c>
      <c r="I137" s="225">
        <f>-АдмРасходы!I12*(1+$D$7)</f>
        <v>-11923.558400000002</v>
      </c>
      <c r="J137" s="225">
        <f>-АдмРасходы!J12*(1+$D$7)</f>
        <v>-12400.500736000002</v>
      </c>
      <c r="K137" s="225">
        <f>-АдмРасходы!K12*(1+$D$7)</f>
        <v>-12896.520765440004</v>
      </c>
      <c r="L137" s="225">
        <f>-АдмРасходы!L12*(1+$D$7)</f>
        <v>-13412.381596057603</v>
      </c>
      <c r="M137" s="225">
        <f>-АдмРасходы!M12*(1+$D$7)</f>
        <v>-13948.876859899909</v>
      </c>
      <c r="N137" s="225">
        <f>-АдмРасходы!N12*(1+$D$7)</f>
        <v>-14506.831934295906</v>
      </c>
      <c r="O137" s="225">
        <f>-АдмРасходы!O12*(1+$D$7)</f>
        <v>-15087.105211667744</v>
      </c>
      <c r="P137" s="71"/>
      <c r="Q137" s="71"/>
      <c r="R137" s="71"/>
      <c r="S137" s="71"/>
      <c r="T137" s="124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</row>
    <row r="138" spans="1:43">
      <c r="A138" s="384"/>
      <c r="B138" s="492"/>
      <c r="C138" s="264"/>
      <c r="D138" s="244"/>
      <c r="E138" s="71"/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71"/>
      <c r="Q138" s="71"/>
      <c r="R138" s="71"/>
      <c r="S138" s="71"/>
      <c r="T138" s="124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</row>
    <row r="139" spans="1:43" ht="30">
      <c r="A139" s="384"/>
      <c r="B139" s="494" t="s">
        <v>689</v>
      </c>
      <c r="C139" s="264" t="s">
        <v>19</v>
      </c>
      <c r="D139" s="244">
        <f t="shared" ref="D139:D144" si="30">SUM(F139:O139)</f>
        <v>-145504.86134370681</v>
      </c>
      <c r="E139" s="71"/>
      <c r="F139" s="225">
        <f>-(F89*0.2)-((F91+F92+F95+F100)*0.2)</f>
        <v>-9280</v>
      </c>
      <c r="G139" s="225">
        <f t="shared" ref="G139:O139" si="31">-(G89*0.2)-((G91+G92+G95+G100)*0.2)</f>
        <v>-10483.199999999999</v>
      </c>
      <c r="H139" s="225">
        <f t="shared" si="31"/>
        <v>-11984.128000000004</v>
      </c>
      <c r="I139" s="225">
        <f t="shared" si="31"/>
        <v>-13813.329920000007</v>
      </c>
      <c r="J139" s="225">
        <f t="shared" si="31"/>
        <v>-15067.77825280001</v>
      </c>
      <c r="K139" s="225">
        <f t="shared" si="31"/>
        <v>-15670.489382912008</v>
      </c>
      <c r="L139" s="225">
        <f t="shared" si="31"/>
        <v>-16297.308958228488</v>
      </c>
      <c r="M139" s="225">
        <f t="shared" si="31"/>
        <v>-16949.201316557625</v>
      </c>
      <c r="N139" s="225">
        <f t="shared" si="31"/>
        <v>-17627.16936921993</v>
      </c>
      <c r="O139" s="225">
        <f t="shared" si="31"/>
        <v>-18332.256143988729</v>
      </c>
      <c r="P139" s="71"/>
      <c r="Q139" s="71"/>
      <c r="R139" s="71"/>
      <c r="S139" s="71"/>
      <c r="T139" s="124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</row>
    <row r="140" spans="1:43" ht="30">
      <c r="A140" s="255" t="str">
        <f t="array" aca="1" ref="A140" ca="1">HYPERLINK(CELL("адрес",НалИмущество!A55),"источник")</f>
        <v>источник</v>
      </c>
      <c r="B140" s="492" t="s">
        <v>467</v>
      </c>
      <c r="C140" s="264" t="s">
        <v>19</v>
      </c>
      <c r="D140" s="244">
        <f t="shared" si="30"/>
        <v>0</v>
      </c>
      <c r="E140" s="71"/>
      <c r="F140" s="225">
        <f>-НалИмущество!F19</f>
        <v>0</v>
      </c>
      <c r="G140" s="225">
        <f>-НалИмущество!G19</f>
        <v>0</v>
      </c>
      <c r="H140" s="225">
        <f>-НалИмущество!H19</f>
        <v>0</v>
      </c>
      <c r="I140" s="225">
        <f>-НалИмущество!I19</f>
        <v>0</v>
      </c>
      <c r="J140" s="225">
        <f>-НалИмущество!J19</f>
        <v>0</v>
      </c>
      <c r="K140" s="225">
        <f>-НалИмущество!K19</f>
        <v>0</v>
      </c>
      <c r="L140" s="225">
        <f>-НалИмущество!L19</f>
        <v>0</v>
      </c>
      <c r="M140" s="225">
        <f>-НалИмущество!M19</f>
        <v>0</v>
      </c>
      <c r="N140" s="225">
        <f>-НалИмущество!N19</f>
        <v>0</v>
      </c>
      <c r="O140" s="225">
        <f>-НалИмущество!O19</f>
        <v>0</v>
      </c>
      <c r="P140" s="71"/>
      <c r="Q140" s="71"/>
      <c r="R140" s="71"/>
      <c r="S140" s="71"/>
      <c r="T140" s="124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</row>
    <row r="141" spans="1:43" ht="30">
      <c r="A141" s="221"/>
      <c r="B141" s="494" t="s">
        <v>690</v>
      </c>
      <c r="C141" s="264" t="s">
        <v>19</v>
      </c>
      <c r="D141" s="244">
        <f t="shared" ca="1" si="30"/>
        <v>-5336.1255987897794</v>
      </c>
      <c r="E141" s="71"/>
      <c r="F141" s="225">
        <f t="shared" ref="F141:O141" ca="1" si="32">F111</f>
        <v>-52.04959999999992</v>
      </c>
      <c r="G141" s="225">
        <f t="shared" ca="1" si="32"/>
        <v>-124.06837760000009</v>
      </c>
      <c r="H141" s="225">
        <f t="shared" ca="1" si="32"/>
        <v>-223.18516674560018</v>
      </c>
      <c r="I141" s="225">
        <f t="shared" ca="1" si="32"/>
        <v>-352.30597448335442</v>
      </c>
      <c r="J141" s="225">
        <f t="shared" ca="1" si="32"/>
        <v>-420.97119251042227</v>
      </c>
      <c r="K141" s="225">
        <f t="shared" ca="1" si="32"/>
        <v>-421.31686772364549</v>
      </c>
      <c r="L141" s="225">
        <f t="shared" ca="1" si="32"/>
        <v>-420.75275228611503</v>
      </c>
      <c r="M141" s="225">
        <f t="shared" ca="1" si="32"/>
        <v>-419.19073198288066</v>
      </c>
      <c r="N141" s="225">
        <f t="shared" ca="1" si="32"/>
        <v>-1457.8769504789518</v>
      </c>
      <c r="O141" s="225">
        <f t="shared" ca="1" si="32"/>
        <v>-1444.4079849788095</v>
      </c>
      <c r="P141" s="71"/>
      <c r="Q141" s="71"/>
      <c r="R141" s="71"/>
      <c r="S141" s="71"/>
      <c r="T141" s="124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</row>
    <row r="142" spans="1:43" ht="30">
      <c r="A142" s="384"/>
      <c r="B142" s="492" t="s">
        <v>343</v>
      </c>
      <c r="C142" s="264" t="s">
        <v>19</v>
      </c>
      <c r="D142" s="244">
        <f t="shared" si="30"/>
        <v>0</v>
      </c>
      <c r="E142" s="71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71"/>
      <c r="Q142" s="71"/>
      <c r="R142" s="71"/>
      <c r="S142" s="71"/>
      <c r="T142" s="124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</row>
    <row r="143" spans="1:43">
      <c r="A143" s="255" t="str">
        <f t="array" aca="1" ref="A143" ca="1">HYPERLINK(CELL("адрес",ПрочРасходы!A41),"источник")</f>
        <v>источник</v>
      </c>
      <c r="B143" s="492" t="s">
        <v>278</v>
      </c>
      <c r="C143" s="264" t="s">
        <v>19</v>
      </c>
      <c r="D143" s="244">
        <f t="shared" si="30"/>
        <v>-28214.351738952715</v>
      </c>
      <c r="E143" s="71"/>
      <c r="F143" s="225">
        <f>-ПрочРасходы!F5*(1+$D$7)</f>
        <v>-2350</v>
      </c>
      <c r="G143" s="225">
        <f>-ПрочРасходы!G5*(1+$D$7)</f>
        <v>-2444</v>
      </c>
      <c r="H143" s="225">
        <f>-ПрочРасходы!H5*(1+$D$7)</f>
        <v>-2541.7600000000002</v>
      </c>
      <c r="I143" s="225">
        <f>-ПрочРасходы!I5*(1+$D$7)</f>
        <v>-2643.4304000000002</v>
      </c>
      <c r="J143" s="225">
        <f>-ПрочРасходы!J5*(1+$D$7)</f>
        <v>-2749.1676160000006</v>
      </c>
      <c r="K143" s="225">
        <f>-ПрочРасходы!K5*(1+$D$7)</f>
        <v>-2859.1343206400011</v>
      </c>
      <c r="L143" s="225">
        <f>-ПрочРасходы!L5*(1+$D$7)</f>
        <v>-2973.499693465601</v>
      </c>
      <c r="M143" s="225">
        <f>-ПрочРасходы!M5*(1+$D$7)</f>
        <v>-3092.4396812042251</v>
      </c>
      <c r="N143" s="225">
        <f>-ПрочРасходы!N5*(1+$D$7)</f>
        <v>-3216.1372684523944</v>
      </c>
      <c r="O143" s="225">
        <f>-ПрочРасходы!O5*(1+$D$7)</f>
        <v>-3344.7827591904902</v>
      </c>
      <c r="P143" s="71"/>
      <c r="Q143" s="71"/>
      <c r="R143" s="71"/>
      <c r="S143" s="71"/>
      <c r="T143" s="124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</row>
    <row r="144" spans="1:43" s="6" customFormat="1" ht="45">
      <c r="A144" s="221" t="s">
        <v>333</v>
      </c>
      <c r="B144" s="494" t="s">
        <v>691</v>
      </c>
      <c r="C144" s="264" t="s">
        <v>19</v>
      </c>
      <c r="D144" s="244">
        <f t="shared" ca="1" si="30"/>
        <v>0</v>
      </c>
      <c r="E144" s="71"/>
      <c r="F144" s="225">
        <f t="shared" ref="F144:O144" ca="1" si="33">-F188</f>
        <v>0</v>
      </c>
      <c r="G144" s="225">
        <f t="shared" ca="1" si="33"/>
        <v>0</v>
      </c>
      <c r="H144" s="225">
        <f t="shared" ca="1" si="33"/>
        <v>0</v>
      </c>
      <c r="I144" s="225">
        <f t="shared" ca="1" si="33"/>
        <v>0</v>
      </c>
      <c r="J144" s="225">
        <f t="shared" ca="1" si="33"/>
        <v>0</v>
      </c>
      <c r="K144" s="225">
        <f t="shared" ca="1" si="33"/>
        <v>0</v>
      </c>
      <c r="L144" s="225">
        <f t="shared" ca="1" si="33"/>
        <v>0</v>
      </c>
      <c r="M144" s="225">
        <f t="shared" ca="1" si="33"/>
        <v>0</v>
      </c>
      <c r="N144" s="225">
        <f t="shared" ca="1" si="33"/>
        <v>0</v>
      </c>
      <c r="O144" s="225">
        <f t="shared" ca="1" si="33"/>
        <v>0</v>
      </c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</row>
    <row r="145" spans="1:20">
      <c r="A145" s="255"/>
      <c r="B145" s="492"/>
      <c r="C145" s="264"/>
      <c r="D145" s="244"/>
      <c r="E145" s="71"/>
      <c r="F145" s="225"/>
      <c r="G145" s="225"/>
      <c r="H145" s="225"/>
      <c r="I145" s="225"/>
      <c r="J145" s="225"/>
      <c r="K145" s="225"/>
      <c r="L145" s="225"/>
      <c r="M145" s="225"/>
      <c r="N145" s="225"/>
      <c r="O145" s="225"/>
      <c r="P145" s="71"/>
      <c r="Q145" s="71"/>
      <c r="R145" s="71"/>
      <c r="S145" s="71"/>
      <c r="T145" s="124"/>
    </row>
    <row r="146" spans="1:20" ht="28.5">
      <c r="A146" s="383"/>
      <c r="B146" s="361" t="s">
        <v>70</v>
      </c>
      <c r="C146" s="264" t="s">
        <v>19</v>
      </c>
      <c r="D146" s="223">
        <f ca="1">D126+D130</f>
        <v>90243.713067756733</v>
      </c>
      <c r="E146" s="71"/>
      <c r="F146" s="223">
        <f t="shared" ref="F146:O146" ca="1" si="34">F126+F130</f>
        <v>-1229.5696000000025</v>
      </c>
      <c r="G146" s="223">
        <f t="shared" ca="1" si="34"/>
        <v>1628.1505024000217</v>
      </c>
      <c r="H146" s="223">
        <f t="shared" ca="1" si="34"/>
        <v>5549.7051705344347</v>
      </c>
      <c r="I146" s="223">
        <f t="shared" ca="1" si="34"/>
        <v>10873.765229684359</v>
      </c>
      <c r="J146" s="223">
        <f t="shared" ca="1" si="34"/>
        <v>13456.355460210645</v>
      </c>
      <c r="K146" s="223">
        <f t="shared" ca="1" si="34"/>
        <v>13186.444226746622</v>
      </c>
      <c r="L146" s="223">
        <f t="shared" ca="1" si="34"/>
        <v>12860.479278639163</v>
      </c>
      <c r="M146" s="223">
        <f t="shared" ca="1" si="34"/>
        <v>12473.684060445434</v>
      </c>
      <c r="N146" s="223">
        <f t="shared" ca="1" si="34"/>
        <v>10979.608348807495</v>
      </c>
      <c r="O146" s="223">
        <f t="shared" ca="1" si="34"/>
        <v>10465.090390289086</v>
      </c>
      <c r="P146" s="71"/>
      <c r="Q146" s="71"/>
      <c r="R146" s="71"/>
      <c r="S146" s="71"/>
      <c r="T146" s="124"/>
    </row>
    <row r="147" spans="1:20">
      <c r="A147" s="383"/>
      <c r="B147" s="361"/>
      <c r="C147" s="370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124"/>
    </row>
    <row r="148" spans="1:20">
      <c r="A148" s="382" t="s">
        <v>71</v>
      </c>
      <c r="B148" s="92"/>
      <c r="C148" s="392"/>
      <c r="D148" s="395"/>
      <c r="E148" s="71"/>
      <c r="F148" s="377"/>
      <c r="G148" s="377"/>
      <c r="H148" s="377"/>
      <c r="I148" s="377"/>
      <c r="J148" s="377"/>
      <c r="K148" s="377"/>
      <c r="L148" s="377"/>
      <c r="M148" s="377"/>
      <c r="N148" s="377"/>
      <c r="O148" s="377"/>
      <c r="P148" s="71"/>
      <c r="Q148" s="71"/>
      <c r="R148" s="71"/>
      <c r="S148" s="71"/>
      <c r="T148" s="124"/>
    </row>
    <row r="149" spans="1:20">
      <c r="A149" s="383"/>
      <c r="B149" s="361" t="s">
        <v>72</v>
      </c>
      <c r="C149" s="264" t="s">
        <v>19</v>
      </c>
      <c r="D149" s="223">
        <f>SUM(D150:D151)</f>
        <v>0</v>
      </c>
      <c r="E149" s="71"/>
      <c r="F149" s="223">
        <f t="shared" ref="F149:O149" si="35">SUM(F150:F151)</f>
        <v>0</v>
      </c>
      <c r="G149" s="223">
        <f t="shared" si="35"/>
        <v>0</v>
      </c>
      <c r="H149" s="223">
        <f t="shared" si="35"/>
        <v>0</v>
      </c>
      <c r="I149" s="223">
        <f t="shared" si="35"/>
        <v>0</v>
      </c>
      <c r="J149" s="223">
        <f t="shared" si="35"/>
        <v>0</v>
      </c>
      <c r="K149" s="223">
        <f t="shared" si="35"/>
        <v>0</v>
      </c>
      <c r="L149" s="223">
        <f t="shared" si="35"/>
        <v>0</v>
      </c>
      <c r="M149" s="223">
        <f t="shared" si="35"/>
        <v>0</v>
      </c>
      <c r="N149" s="223">
        <f t="shared" si="35"/>
        <v>0</v>
      </c>
      <c r="O149" s="223">
        <f t="shared" si="35"/>
        <v>0</v>
      </c>
      <c r="P149" s="71"/>
      <c r="Q149" s="71"/>
      <c r="R149" s="71"/>
      <c r="S149" s="71"/>
      <c r="T149" s="124"/>
    </row>
    <row r="150" spans="1:20">
      <c r="A150" s="384"/>
      <c r="B150" s="492" t="s">
        <v>75</v>
      </c>
      <c r="C150" s="264" t="s">
        <v>19</v>
      </c>
      <c r="D150" s="244">
        <f>SUM(F150:O150)</f>
        <v>0</v>
      </c>
      <c r="E150" s="71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71"/>
      <c r="Q150" s="71"/>
      <c r="R150" s="71"/>
      <c r="S150" s="71"/>
      <c r="T150" s="124"/>
    </row>
    <row r="151" spans="1:20" ht="30">
      <c r="A151" s="255" t="str">
        <f t="array" aca="1" ref="A151" ca="1">HYPERLINK(CELL("адрес",Инвестиции!A44),"источник")</f>
        <v>источник</v>
      </c>
      <c r="B151" s="492" t="s">
        <v>77</v>
      </c>
      <c r="C151" s="264" t="s">
        <v>19</v>
      </c>
      <c r="D151" s="244">
        <f>SUM(F151:O151)</f>
        <v>0</v>
      </c>
      <c r="E151" s="71"/>
      <c r="F151" s="225">
        <f>Инвестиции!F8</f>
        <v>0</v>
      </c>
      <c r="G151" s="225">
        <f>Инвестиции!G8</f>
        <v>0</v>
      </c>
      <c r="H151" s="225">
        <f>Инвестиции!H8</f>
        <v>0</v>
      </c>
      <c r="I151" s="225">
        <f>Инвестиции!I8</f>
        <v>0</v>
      </c>
      <c r="J151" s="225">
        <f>Инвестиции!J8</f>
        <v>0</v>
      </c>
      <c r="K151" s="225">
        <f>Инвестиции!K8</f>
        <v>0</v>
      </c>
      <c r="L151" s="225">
        <f>Инвестиции!L8</f>
        <v>0</v>
      </c>
      <c r="M151" s="225">
        <f>Инвестиции!M8</f>
        <v>0</v>
      </c>
      <c r="N151" s="225">
        <f>Инвестиции!N8</f>
        <v>0</v>
      </c>
      <c r="O151" s="225">
        <f>Инвестиции!O8</f>
        <v>0</v>
      </c>
      <c r="P151" s="71"/>
      <c r="Q151" s="71"/>
      <c r="R151" s="71"/>
      <c r="S151" s="71"/>
      <c r="T151" s="124"/>
    </row>
    <row r="152" spans="1:20">
      <c r="A152" s="384"/>
      <c r="B152" s="493"/>
      <c r="C152" s="264" t="s">
        <v>19</v>
      </c>
      <c r="D152" s="396"/>
      <c r="E152" s="71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71"/>
      <c r="Q152" s="71"/>
      <c r="R152" s="71"/>
      <c r="S152" s="71"/>
      <c r="T152" s="71"/>
    </row>
    <row r="153" spans="1:20">
      <c r="A153" s="383"/>
      <c r="B153" s="361" t="s">
        <v>73</v>
      </c>
      <c r="C153" s="264" t="s">
        <v>19</v>
      </c>
      <c r="D153" s="223">
        <f>SUM(D154:D155)</f>
        <v>0</v>
      </c>
      <c r="E153" s="71"/>
      <c r="F153" s="223">
        <f t="shared" ref="F153:O153" si="36">SUM(F154:F155)</f>
        <v>0</v>
      </c>
      <c r="G153" s="223">
        <f t="shared" si="36"/>
        <v>0</v>
      </c>
      <c r="H153" s="223">
        <f t="shared" si="36"/>
        <v>0</v>
      </c>
      <c r="I153" s="223">
        <f t="shared" si="36"/>
        <v>0</v>
      </c>
      <c r="J153" s="223">
        <f t="shared" si="36"/>
        <v>0</v>
      </c>
      <c r="K153" s="223">
        <f t="shared" si="36"/>
        <v>0</v>
      </c>
      <c r="L153" s="223">
        <f t="shared" si="36"/>
        <v>0</v>
      </c>
      <c r="M153" s="223">
        <f t="shared" si="36"/>
        <v>0</v>
      </c>
      <c r="N153" s="223">
        <f t="shared" si="36"/>
        <v>0</v>
      </c>
      <c r="O153" s="223">
        <f t="shared" si="36"/>
        <v>0</v>
      </c>
      <c r="P153" s="71"/>
      <c r="Q153" s="71"/>
      <c r="R153" s="71"/>
      <c r="S153" s="71"/>
      <c r="T153" s="71"/>
    </row>
    <row r="154" spans="1:20">
      <c r="A154" s="255" t="str">
        <f t="array" aca="1" ref="A154" ca="1">HYPERLINK(CELL("адрес",Инвестиции!A43),"источник")</f>
        <v>источник</v>
      </c>
      <c r="B154" s="492" t="s">
        <v>215</v>
      </c>
      <c r="C154" s="264" t="s">
        <v>19</v>
      </c>
      <c r="D154" s="244">
        <f>SUM(F154:O154)</f>
        <v>0</v>
      </c>
      <c r="E154" s="71"/>
      <c r="F154" s="225">
        <f>-Инвестиции!F7</f>
        <v>0</v>
      </c>
      <c r="G154" s="225">
        <f>-Инвестиции!G7</f>
        <v>0</v>
      </c>
      <c r="H154" s="225">
        <f>-Инвестиции!H7</f>
        <v>0</v>
      </c>
      <c r="I154" s="225">
        <f>-Инвестиции!I7</f>
        <v>0</v>
      </c>
      <c r="J154" s="225">
        <f>-Инвестиции!J7</f>
        <v>0</v>
      </c>
      <c r="K154" s="225">
        <f>-Инвестиции!K7</f>
        <v>0</v>
      </c>
      <c r="L154" s="225">
        <f>-Инвестиции!L7</f>
        <v>0</v>
      </c>
      <c r="M154" s="225">
        <f>-Инвестиции!M7</f>
        <v>0</v>
      </c>
      <c r="N154" s="225">
        <f>-Инвестиции!N7</f>
        <v>0</v>
      </c>
      <c r="O154" s="225">
        <f>-Инвестиции!O7</f>
        <v>0</v>
      </c>
      <c r="P154" s="71"/>
      <c r="Q154" s="71"/>
      <c r="R154" s="71"/>
      <c r="S154" s="71"/>
      <c r="T154" s="71"/>
    </row>
    <row r="155" spans="1:20">
      <c r="A155" s="384"/>
      <c r="B155" s="492"/>
      <c r="C155" s="264" t="s">
        <v>19</v>
      </c>
      <c r="D155" s="244">
        <f>SUM(F155:O155)</f>
        <v>0</v>
      </c>
      <c r="E155" s="71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71"/>
      <c r="Q155" s="71"/>
      <c r="R155" s="71"/>
      <c r="S155" s="71"/>
      <c r="T155" s="71"/>
    </row>
    <row r="156" spans="1:20">
      <c r="A156" s="384"/>
      <c r="B156" s="495"/>
      <c r="C156" s="264" t="s">
        <v>19</v>
      </c>
      <c r="D156" s="397"/>
      <c r="E156" s="71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71"/>
      <c r="Q156" s="71"/>
      <c r="R156" s="71"/>
      <c r="S156" s="71"/>
      <c r="T156" s="71"/>
    </row>
    <row r="157" spans="1:20" ht="28.5">
      <c r="A157" s="383"/>
      <c r="B157" s="361" t="s">
        <v>76</v>
      </c>
      <c r="C157" s="264" t="s">
        <v>19</v>
      </c>
      <c r="D157" s="223">
        <f>D149+D153</f>
        <v>0</v>
      </c>
      <c r="E157" s="71"/>
      <c r="F157" s="223">
        <f t="shared" ref="F157:O157" si="37">F149+F153</f>
        <v>0</v>
      </c>
      <c r="G157" s="223">
        <f t="shared" si="37"/>
        <v>0</v>
      </c>
      <c r="H157" s="223">
        <f t="shared" si="37"/>
        <v>0</v>
      </c>
      <c r="I157" s="223">
        <f t="shared" si="37"/>
        <v>0</v>
      </c>
      <c r="J157" s="223">
        <f t="shared" si="37"/>
        <v>0</v>
      </c>
      <c r="K157" s="223">
        <f t="shared" si="37"/>
        <v>0</v>
      </c>
      <c r="L157" s="223">
        <f t="shared" si="37"/>
        <v>0</v>
      </c>
      <c r="M157" s="223">
        <f t="shared" si="37"/>
        <v>0</v>
      </c>
      <c r="N157" s="223">
        <f t="shared" si="37"/>
        <v>0</v>
      </c>
      <c r="O157" s="223">
        <f t="shared" si="37"/>
        <v>0</v>
      </c>
      <c r="P157" s="71"/>
      <c r="Q157" s="71"/>
      <c r="R157" s="71"/>
      <c r="S157" s="71"/>
      <c r="T157" s="71"/>
    </row>
    <row r="158" spans="1:20">
      <c r="A158" s="146"/>
      <c r="B158" s="173"/>
      <c r="C158" s="370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</row>
    <row r="159" spans="1:20">
      <c r="A159" s="382" t="s">
        <v>78</v>
      </c>
      <c r="B159" s="92"/>
      <c r="C159" s="392"/>
      <c r="D159" s="395"/>
      <c r="E159" s="71"/>
      <c r="F159" s="377"/>
      <c r="G159" s="377"/>
      <c r="H159" s="377"/>
      <c r="I159" s="377"/>
      <c r="J159" s="377"/>
      <c r="K159" s="377"/>
      <c r="L159" s="377"/>
      <c r="M159" s="377"/>
      <c r="N159" s="377"/>
      <c r="O159" s="377"/>
      <c r="P159" s="71"/>
      <c r="Q159" s="71"/>
      <c r="R159" s="71"/>
      <c r="S159" s="71"/>
      <c r="T159" s="71"/>
    </row>
    <row r="160" spans="1:20">
      <c r="A160" s="383"/>
      <c r="B160" s="361" t="s">
        <v>72</v>
      </c>
      <c r="C160" s="264" t="s">
        <v>19</v>
      </c>
      <c r="D160" s="223">
        <f>SUM(D161:D164)</f>
        <v>20000</v>
      </c>
      <c r="E160" s="71"/>
      <c r="F160" s="223">
        <f t="shared" ref="F160:O160" si="38">SUM(F161:F164)</f>
        <v>10000</v>
      </c>
      <c r="G160" s="223">
        <f t="shared" si="38"/>
        <v>0</v>
      </c>
      <c r="H160" s="223">
        <f t="shared" si="38"/>
        <v>0</v>
      </c>
      <c r="I160" s="223">
        <f t="shared" si="38"/>
        <v>0</v>
      </c>
      <c r="J160" s="223">
        <f t="shared" si="38"/>
        <v>0</v>
      </c>
      <c r="K160" s="223">
        <f t="shared" si="38"/>
        <v>10000</v>
      </c>
      <c r="L160" s="223">
        <f t="shared" si="38"/>
        <v>0</v>
      </c>
      <c r="M160" s="223">
        <f t="shared" si="38"/>
        <v>0</v>
      </c>
      <c r="N160" s="223">
        <f t="shared" si="38"/>
        <v>0</v>
      </c>
      <c r="O160" s="223">
        <f t="shared" si="38"/>
        <v>0</v>
      </c>
      <c r="P160" s="71"/>
      <c r="Q160" s="71"/>
      <c r="R160" s="71"/>
      <c r="S160" s="71"/>
      <c r="T160" s="71"/>
    </row>
    <row r="161" spans="1:15" ht="30">
      <c r="A161" s="255" t="str">
        <f t="array" aca="1" ref="A161" ca="1">HYPERLINK(CELL("адрес",Финансы!A43),"источник")</f>
        <v>источник</v>
      </c>
      <c r="B161" s="492" t="s">
        <v>279</v>
      </c>
      <c r="C161" s="264" t="s">
        <v>19</v>
      </c>
      <c r="D161" s="244">
        <f>SUM(F161:O161)</f>
        <v>20000</v>
      </c>
      <c r="E161" s="71"/>
      <c r="F161" s="225">
        <f>Финансы!F7</f>
        <v>10000</v>
      </c>
      <c r="G161" s="225">
        <f>Финансы!G7</f>
        <v>0</v>
      </c>
      <c r="H161" s="225">
        <f>Финансы!H7</f>
        <v>0</v>
      </c>
      <c r="I161" s="225">
        <f>Финансы!I7</f>
        <v>0</v>
      </c>
      <c r="J161" s="225">
        <f>Финансы!J7</f>
        <v>0</v>
      </c>
      <c r="K161" s="225">
        <f>Финансы!K7</f>
        <v>10000</v>
      </c>
      <c r="L161" s="225">
        <f>Финансы!L7</f>
        <v>0</v>
      </c>
      <c r="M161" s="225">
        <f>Финансы!M7</f>
        <v>0</v>
      </c>
      <c r="N161" s="225">
        <f>Финансы!N7</f>
        <v>0</v>
      </c>
      <c r="O161" s="225">
        <f>Финансы!O7</f>
        <v>0</v>
      </c>
    </row>
    <row r="162" spans="1:15">
      <c r="A162" s="384"/>
      <c r="B162" s="492" t="s">
        <v>80</v>
      </c>
      <c r="C162" s="264" t="s">
        <v>19</v>
      </c>
      <c r="D162" s="244">
        <f>SUM(F162:O162)</f>
        <v>0</v>
      </c>
      <c r="E162" s="71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</row>
    <row r="163" spans="1:15">
      <c r="A163" s="384"/>
      <c r="B163" s="492" t="s">
        <v>81</v>
      </c>
      <c r="C163" s="264" t="s">
        <v>19</v>
      </c>
      <c r="D163" s="244">
        <f>SUM(F163:O163)</f>
        <v>0</v>
      </c>
      <c r="E163" s="71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</row>
    <row r="164" spans="1:15" ht="30">
      <c r="A164" s="255" t="str">
        <f t="array" aca="1" ref="A164" ca="1">HYPERLINK(CELL("адрес",Финансы!A58),"источник")</f>
        <v>источник</v>
      </c>
      <c r="B164" s="492" t="s">
        <v>224</v>
      </c>
      <c r="C164" s="264" t="s">
        <v>19</v>
      </c>
      <c r="D164" s="244">
        <f>SUM(F164:O164)</f>
        <v>0</v>
      </c>
      <c r="E164" s="71"/>
      <c r="F164" s="244">
        <f>Финансы!F32</f>
        <v>0</v>
      </c>
      <c r="G164" s="244">
        <f>Финансы!G32</f>
        <v>0</v>
      </c>
      <c r="H164" s="244">
        <f>Финансы!H32</f>
        <v>0</v>
      </c>
      <c r="I164" s="244">
        <f>Финансы!I32</f>
        <v>0</v>
      </c>
      <c r="J164" s="244">
        <f>Финансы!J32</f>
        <v>0</v>
      </c>
      <c r="K164" s="244">
        <f>Финансы!K32</f>
        <v>0</v>
      </c>
      <c r="L164" s="244">
        <f>Финансы!L32</f>
        <v>0</v>
      </c>
      <c r="M164" s="244">
        <f>Финансы!M32</f>
        <v>0</v>
      </c>
      <c r="N164" s="244">
        <f>Финансы!N32</f>
        <v>0</v>
      </c>
      <c r="O164" s="244">
        <f>Финансы!O32</f>
        <v>0</v>
      </c>
    </row>
    <row r="165" spans="1:15">
      <c r="A165" s="384"/>
      <c r="B165" s="493"/>
      <c r="C165" s="264" t="s">
        <v>19</v>
      </c>
      <c r="D165" s="396"/>
      <c r="E165" s="71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</row>
    <row r="166" spans="1:15">
      <c r="A166" s="383"/>
      <c r="B166" s="361" t="s">
        <v>73</v>
      </c>
      <c r="C166" s="264" t="s">
        <v>19</v>
      </c>
      <c r="D166" s="223">
        <f>SUM(D167:D169)</f>
        <v>0</v>
      </c>
      <c r="E166" s="71"/>
      <c r="F166" s="223">
        <f t="shared" ref="F166:O166" si="39">SUM(F167:F169)</f>
        <v>0</v>
      </c>
      <c r="G166" s="223">
        <f t="shared" si="39"/>
        <v>0</v>
      </c>
      <c r="H166" s="223">
        <f t="shared" si="39"/>
        <v>0</v>
      </c>
      <c r="I166" s="223">
        <f t="shared" si="39"/>
        <v>0</v>
      </c>
      <c r="J166" s="223">
        <f t="shared" si="39"/>
        <v>0</v>
      </c>
      <c r="K166" s="223">
        <f t="shared" si="39"/>
        <v>0</v>
      </c>
      <c r="L166" s="223">
        <f t="shared" si="39"/>
        <v>0</v>
      </c>
      <c r="M166" s="223">
        <f t="shared" si="39"/>
        <v>0</v>
      </c>
      <c r="N166" s="223">
        <f t="shared" si="39"/>
        <v>0</v>
      </c>
      <c r="O166" s="223">
        <f t="shared" si="39"/>
        <v>0</v>
      </c>
    </row>
    <row r="167" spans="1:15">
      <c r="A167" s="255" t="str">
        <f t="array" aca="1" ref="A167" ca="1">HYPERLINK(CELL("адрес",Финансы!A59),"источник")</f>
        <v>источник</v>
      </c>
      <c r="B167" s="492" t="s">
        <v>328</v>
      </c>
      <c r="C167" s="264" t="s">
        <v>19</v>
      </c>
      <c r="D167" s="244">
        <f>SUM(F167:O167)</f>
        <v>0</v>
      </c>
      <c r="E167" s="71"/>
      <c r="F167" s="225">
        <f>-Финансы!F33</f>
        <v>0</v>
      </c>
      <c r="G167" s="225">
        <f>-Финансы!G33</f>
        <v>0</v>
      </c>
      <c r="H167" s="225">
        <f>-Финансы!H33</f>
        <v>0</v>
      </c>
      <c r="I167" s="225">
        <f>-Финансы!I33</f>
        <v>0</v>
      </c>
      <c r="J167" s="225">
        <f>-Финансы!J33</f>
        <v>0</v>
      </c>
      <c r="K167" s="225">
        <f>-Финансы!K33</f>
        <v>0</v>
      </c>
      <c r="L167" s="225">
        <f>-Финансы!L33</f>
        <v>0</v>
      </c>
      <c r="M167" s="225">
        <f>-Финансы!M33</f>
        <v>0</v>
      </c>
      <c r="N167" s="225">
        <f>-Финансы!N33</f>
        <v>0</v>
      </c>
      <c r="O167" s="225">
        <f>-Финансы!O33</f>
        <v>0</v>
      </c>
    </row>
    <row r="169" spans="1:15">
      <c r="A169" s="384"/>
      <c r="B169" s="492" t="s">
        <v>82</v>
      </c>
      <c r="C169" s="264" t="s">
        <v>19</v>
      </c>
      <c r="D169" s="244">
        <f>SUM(F169:O169)</f>
        <v>0</v>
      </c>
      <c r="E169" s="71"/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</row>
    <row r="170" spans="1:15">
      <c r="A170" s="384"/>
      <c r="B170" s="495"/>
      <c r="C170" s="264"/>
      <c r="D170" s="397"/>
      <c r="E170" s="71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</row>
    <row r="171" spans="1:15" ht="28.5">
      <c r="A171" s="383"/>
      <c r="B171" s="361" t="s">
        <v>79</v>
      </c>
      <c r="C171" s="264" t="s">
        <v>19</v>
      </c>
      <c r="D171" s="223">
        <f>D160+D166</f>
        <v>20000</v>
      </c>
      <c r="E171" s="71"/>
      <c r="F171" s="223">
        <f t="shared" ref="F171:O171" si="40">F160+F166</f>
        <v>10000</v>
      </c>
      <c r="G171" s="223">
        <f t="shared" si="40"/>
        <v>0</v>
      </c>
      <c r="H171" s="223">
        <f t="shared" si="40"/>
        <v>0</v>
      </c>
      <c r="I171" s="223">
        <f t="shared" si="40"/>
        <v>0</v>
      </c>
      <c r="J171" s="223">
        <f t="shared" si="40"/>
        <v>0</v>
      </c>
      <c r="K171" s="223">
        <f t="shared" si="40"/>
        <v>10000</v>
      </c>
      <c r="L171" s="223">
        <f t="shared" si="40"/>
        <v>0</v>
      </c>
      <c r="M171" s="223">
        <f t="shared" si="40"/>
        <v>0</v>
      </c>
      <c r="N171" s="223">
        <f t="shared" si="40"/>
        <v>0</v>
      </c>
      <c r="O171" s="223">
        <f t="shared" si="40"/>
        <v>0</v>
      </c>
    </row>
    <row r="172" spans="1:15">
      <c r="A172" s="71"/>
      <c r="B172" s="164"/>
      <c r="C172" s="367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</row>
    <row r="173" spans="1:15">
      <c r="A173" s="382" t="s">
        <v>83</v>
      </c>
      <c r="B173" s="92"/>
      <c r="C173" s="392"/>
      <c r="D173" s="395"/>
      <c r="E173" s="71"/>
      <c r="F173" s="377"/>
      <c r="G173" s="377"/>
      <c r="H173" s="377"/>
      <c r="I173" s="377"/>
      <c r="J173" s="377"/>
      <c r="K173" s="377"/>
      <c r="L173" s="377"/>
      <c r="M173" s="377"/>
      <c r="N173" s="377"/>
      <c r="O173" s="377"/>
    </row>
    <row r="174" spans="1:15">
      <c r="A174" s="384"/>
      <c r="B174" s="492" t="s">
        <v>72</v>
      </c>
      <c r="C174" s="264" t="s">
        <v>19</v>
      </c>
      <c r="D174" s="244">
        <f>SUM(F174:O174)</f>
        <v>1656560.5230793813</v>
      </c>
      <c r="E174" s="71"/>
      <c r="F174" s="225">
        <f t="shared" ref="F174:O174" si="41">F126+F149+F160</f>
        <v>125500</v>
      </c>
      <c r="G174" s="225">
        <f t="shared" si="41"/>
        <v>126672</v>
      </c>
      <c r="H174" s="225">
        <f t="shared" si="41"/>
        <v>138552.96000000002</v>
      </c>
      <c r="I174" s="225">
        <f t="shared" si="41"/>
        <v>155906.15040000004</v>
      </c>
      <c r="J174" s="225">
        <f t="shared" si="41"/>
        <v>165827.45088000005</v>
      </c>
      <c r="K174" s="225">
        <f t="shared" si="41"/>
        <v>182460.54891520005</v>
      </c>
      <c r="L174" s="225">
        <f t="shared" si="41"/>
        <v>179358.97087180807</v>
      </c>
      <c r="M174" s="225">
        <f t="shared" si="41"/>
        <v>186533.32970668035</v>
      </c>
      <c r="N174" s="225">
        <f t="shared" si="41"/>
        <v>193994.66289494757</v>
      </c>
      <c r="O174" s="225">
        <f t="shared" si="41"/>
        <v>201754.4494107455</v>
      </c>
    </row>
    <row r="175" spans="1:15">
      <c r="A175" s="384"/>
      <c r="B175" s="492" t="s">
        <v>73</v>
      </c>
      <c r="C175" s="264" t="s">
        <v>19</v>
      </c>
      <c r="D175" s="244">
        <f ca="1">SUM(F175:O175)</f>
        <v>-1546316.8100116244</v>
      </c>
      <c r="E175" s="71"/>
      <c r="F175" s="225">
        <f t="shared" ref="F175:O175" ca="1" si="42">F130+F153+F166</f>
        <v>-116729.5696</v>
      </c>
      <c r="G175" s="225">
        <f t="shared" ca="1" si="42"/>
        <v>-125043.84949759998</v>
      </c>
      <c r="H175" s="225">
        <f t="shared" ca="1" si="42"/>
        <v>-133003.25482946559</v>
      </c>
      <c r="I175" s="225">
        <f t="shared" ca="1" si="42"/>
        <v>-145032.38517031568</v>
      </c>
      <c r="J175" s="225">
        <f t="shared" ca="1" si="42"/>
        <v>-152371.0954197894</v>
      </c>
      <c r="K175" s="225">
        <f t="shared" ca="1" si="42"/>
        <v>-159274.10468845343</v>
      </c>
      <c r="L175" s="225">
        <f t="shared" ca="1" si="42"/>
        <v>-166498.4915931689</v>
      </c>
      <c r="M175" s="225">
        <f t="shared" ca="1" si="42"/>
        <v>-174059.64564623492</v>
      </c>
      <c r="N175" s="225">
        <f t="shared" ca="1" si="42"/>
        <v>-183015.05454614008</v>
      </c>
      <c r="O175" s="225">
        <f t="shared" ca="1" si="42"/>
        <v>-191289.35902045641</v>
      </c>
    </row>
    <row r="176" spans="1:15">
      <c r="A176" s="384"/>
      <c r="B176" s="492"/>
      <c r="C176" s="264"/>
      <c r="D176" s="244"/>
      <c r="E176" s="71"/>
      <c r="F176" s="225"/>
      <c r="G176" s="225"/>
      <c r="H176" s="225"/>
      <c r="I176" s="225"/>
      <c r="J176" s="225"/>
      <c r="K176" s="225"/>
      <c r="L176" s="225"/>
      <c r="M176" s="225"/>
      <c r="N176" s="225"/>
      <c r="O176" s="225"/>
    </row>
    <row r="177" spans="1:15" ht="30.75" thickBot="1">
      <c r="A177" s="385"/>
      <c r="B177" s="496" t="s">
        <v>84</v>
      </c>
      <c r="C177" s="393" t="s">
        <v>19</v>
      </c>
      <c r="D177" s="379">
        <f ca="1">D124+D174+D175</f>
        <v>110243.71306775697</v>
      </c>
      <c r="E177" s="376"/>
      <c r="F177" s="379">
        <f t="shared" ref="F177:O177" ca="1" si="43">F124+F174+F175</f>
        <v>8770.4303999999975</v>
      </c>
      <c r="G177" s="379">
        <f t="shared" ca="1" si="43"/>
        <v>10398.580902400034</v>
      </c>
      <c r="H177" s="379">
        <f t="shared" ca="1" si="43"/>
        <v>15948.286072934454</v>
      </c>
      <c r="I177" s="379">
        <f t="shared" ca="1" si="43"/>
        <v>26822.051302618813</v>
      </c>
      <c r="J177" s="379">
        <f t="shared" ca="1" si="43"/>
        <v>40278.406762829458</v>
      </c>
      <c r="K177" s="379">
        <f t="shared" ca="1" si="43"/>
        <v>63464.85098957608</v>
      </c>
      <c r="L177" s="379">
        <f t="shared" ca="1" si="43"/>
        <v>76325.330268215243</v>
      </c>
      <c r="M177" s="379">
        <f t="shared" ca="1" si="43"/>
        <v>88799.014328660676</v>
      </c>
      <c r="N177" s="379">
        <f t="shared" ca="1" si="43"/>
        <v>99778.622677468171</v>
      </c>
      <c r="O177" s="379">
        <f t="shared" ca="1" si="43"/>
        <v>110243.71306775723</v>
      </c>
    </row>
    <row r="178" spans="1:15">
      <c r="A178" s="71"/>
      <c r="B178" s="164"/>
      <c r="C178" s="367"/>
      <c r="D178" s="124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</row>
    <row r="179" spans="1:15" ht="18.75">
      <c r="A179" s="482" t="s">
        <v>672</v>
      </c>
      <c r="B179" s="164"/>
      <c r="C179" s="184"/>
      <c r="D179" s="71"/>
      <c r="E179" s="71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</row>
    <row r="180" spans="1:15">
      <c r="A180" s="71" t="str">
        <f>Паспорт_ФМ_резидент!$B$7</f>
        <v>Разработка, производство, модернизация и реализация …</v>
      </c>
      <c r="B180" s="164"/>
      <c r="C180" s="391"/>
      <c r="D180" s="71"/>
      <c r="E180" s="71"/>
      <c r="F180" s="126">
        <v>1</v>
      </c>
      <c r="G180" s="126">
        <v>2</v>
      </c>
      <c r="H180" s="126">
        <v>3</v>
      </c>
      <c r="I180" s="126">
        <v>4</v>
      </c>
      <c r="J180" s="126">
        <v>5</v>
      </c>
      <c r="K180" s="126">
        <v>6</v>
      </c>
      <c r="L180" s="126">
        <v>7</v>
      </c>
      <c r="M180" s="126">
        <v>8</v>
      </c>
      <c r="N180" s="126">
        <v>9</v>
      </c>
      <c r="O180" s="126">
        <v>10</v>
      </c>
    </row>
    <row r="181" spans="1:15">
      <c r="A181" s="380" t="s">
        <v>600</v>
      </c>
      <c r="B181" s="230" t="s">
        <v>3</v>
      </c>
      <c r="C181" s="127" t="s">
        <v>12</v>
      </c>
      <c r="D181" s="194" t="e">
        <f>CONCATENATE("Итого ",F181,"-",O181)</f>
        <v>#VALUE!</v>
      </c>
      <c r="E181" s="152"/>
      <c r="F181" s="127" t="e">
        <f>YEAR(Паспорт_ФМ_резидент!C36)</f>
        <v>#VALUE!</v>
      </c>
      <c r="G181" s="127" t="e">
        <f>YEAR(Паспорт_ФМ_резидент!C36)</f>
        <v>#VALUE!</v>
      </c>
      <c r="H181" s="127" t="e">
        <f>YEAR(Паспорт_ФМ_резидент!C36)</f>
        <v>#VALUE!</v>
      </c>
      <c r="I181" s="127" t="e">
        <f>YEAR(Паспорт_ФМ_резидент!C36)</f>
        <v>#VALUE!</v>
      </c>
      <c r="J181" s="127" t="e">
        <f>YEAR(Паспорт_ФМ_резидент!C36)</f>
        <v>#VALUE!</v>
      </c>
      <c r="K181" s="127" t="e">
        <f>YEAR(Паспорт_ФМ_резидент!C36)</f>
        <v>#VALUE!</v>
      </c>
      <c r="L181" s="127" t="e">
        <f>YEAR(Паспорт_ФМ_резидент!C36)</f>
        <v>#VALUE!</v>
      </c>
      <c r="M181" s="127" t="e">
        <f>YEAR(Паспорт_ФМ_резидент!C36)</f>
        <v>#VALUE!</v>
      </c>
      <c r="N181" s="127" t="e">
        <f>YEAR(Паспорт_ФМ_резидент!C36)</f>
        <v>#VALUE!</v>
      </c>
      <c r="O181" s="127" t="e">
        <f>YEAR(Паспорт_ФМ_резидент!C36)</f>
        <v>#VALUE!</v>
      </c>
    </row>
    <row r="182" spans="1:15">
      <c r="A182" s="71"/>
      <c r="B182" s="173" t="s">
        <v>436</v>
      </c>
      <c r="C182" s="186" t="s">
        <v>27</v>
      </c>
      <c r="D182" s="137"/>
      <c r="E182" s="71"/>
      <c r="F182" s="430">
        <f>Q9</f>
        <v>0.245</v>
      </c>
      <c r="G182" s="430">
        <f t="shared" ref="G182:O182" si="44">F182</f>
        <v>0.245</v>
      </c>
      <c r="H182" s="430">
        <f t="shared" si="44"/>
        <v>0.245</v>
      </c>
      <c r="I182" s="430">
        <f t="shared" si="44"/>
        <v>0.245</v>
      </c>
      <c r="J182" s="430">
        <f t="shared" si="44"/>
        <v>0.245</v>
      </c>
      <c r="K182" s="430">
        <f t="shared" si="44"/>
        <v>0.245</v>
      </c>
      <c r="L182" s="430">
        <f t="shared" si="44"/>
        <v>0.245</v>
      </c>
      <c r="M182" s="430">
        <f t="shared" si="44"/>
        <v>0.245</v>
      </c>
      <c r="N182" s="430">
        <f t="shared" si="44"/>
        <v>0.245</v>
      </c>
      <c r="O182" s="430">
        <f t="shared" si="44"/>
        <v>0.245</v>
      </c>
    </row>
    <row r="183" spans="1:15" ht="30">
      <c r="A183" s="71"/>
      <c r="B183" s="173" t="s">
        <v>161</v>
      </c>
      <c r="C183" s="237" t="s">
        <v>19</v>
      </c>
      <c r="D183" s="508" t="s">
        <v>134</v>
      </c>
      <c r="E183" s="71"/>
      <c r="F183" s="431">
        <f ca="1">Финансы!F21</f>
        <v>0</v>
      </c>
      <c r="G183" s="226">
        <f t="shared" ref="G183:O183" ca="1" si="45">F186</f>
        <v>0</v>
      </c>
      <c r="H183" s="226">
        <f t="shared" ca="1" si="45"/>
        <v>0</v>
      </c>
      <c r="I183" s="226">
        <f t="shared" ca="1" si="45"/>
        <v>0</v>
      </c>
      <c r="J183" s="226">
        <f t="shared" ca="1" si="45"/>
        <v>0</v>
      </c>
      <c r="K183" s="226">
        <f t="shared" ca="1" si="45"/>
        <v>0</v>
      </c>
      <c r="L183" s="226">
        <f t="shared" ca="1" si="45"/>
        <v>0</v>
      </c>
      <c r="M183" s="226">
        <f t="shared" ca="1" si="45"/>
        <v>0</v>
      </c>
      <c r="N183" s="226">
        <f t="shared" ca="1" si="45"/>
        <v>0</v>
      </c>
      <c r="O183" s="226">
        <f t="shared" ca="1" si="45"/>
        <v>0</v>
      </c>
    </row>
    <row r="184" spans="1:15">
      <c r="A184" s="480" t="str">
        <f t="array" aca="1" ref="A184" ca="1">HYPERLINK(CELL("адрес",Финансы!A22),"источник")</f>
        <v>источник</v>
      </c>
      <c r="B184" s="173" t="s">
        <v>162</v>
      </c>
      <c r="C184" s="237" t="s">
        <v>19</v>
      </c>
      <c r="D184" s="240">
        <f ca="1">SUM(F184:O184)</f>
        <v>0</v>
      </c>
      <c r="E184" s="71"/>
      <c r="F184" s="431">
        <f ca="1">Финансы!F22</f>
        <v>0</v>
      </c>
      <c r="G184" s="431">
        <f ca="1">Финансы!G22</f>
        <v>0</v>
      </c>
      <c r="H184" s="431">
        <f ca="1">Финансы!H22</f>
        <v>0</v>
      </c>
      <c r="I184" s="431">
        <f ca="1">Финансы!I22</f>
        <v>0</v>
      </c>
      <c r="J184" s="431">
        <f ca="1">Финансы!J22</f>
        <v>0</v>
      </c>
      <c r="K184" s="431">
        <f ca="1">Финансы!K22</f>
        <v>0</v>
      </c>
      <c r="L184" s="431">
        <f ca="1">Финансы!L22</f>
        <v>0</v>
      </c>
      <c r="M184" s="431">
        <f ca="1">Финансы!M22</f>
        <v>0</v>
      </c>
      <c r="N184" s="431">
        <f ca="1">Финансы!N22</f>
        <v>0</v>
      </c>
      <c r="O184" s="431">
        <f ca="1">Финансы!O22</f>
        <v>0</v>
      </c>
    </row>
    <row r="185" spans="1:15">
      <c r="A185" s="71"/>
      <c r="B185" s="173" t="s">
        <v>163</v>
      </c>
      <c r="C185" s="237" t="s">
        <v>19</v>
      </c>
      <c r="D185" s="240">
        <f ca="1">SUM(F185:O185)</f>
        <v>0</v>
      </c>
      <c r="E185" s="71"/>
      <c r="F185" s="431">
        <f ca="1">Финансы!F23</f>
        <v>0</v>
      </c>
      <c r="G185" s="431">
        <f ca="1">Финансы!G23</f>
        <v>0</v>
      </c>
      <c r="H185" s="431">
        <f ca="1">Финансы!H23</f>
        <v>0</v>
      </c>
      <c r="I185" s="431">
        <f ca="1">Финансы!I23</f>
        <v>0</v>
      </c>
      <c r="J185" s="431">
        <f ca="1">Финансы!J23</f>
        <v>0</v>
      </c>
      <c r="K185" s="431">
        <f ca="1">Финансы!K23</f>
        <v>0</v>
      </c>
      <c r="L185" s="431">
        <f ca="1">Финансы!L23</f>
        <v>0</v>
      </c>
      <c r="M185" s="431">
        <f ca="1">Финансы!M23</f>
        <v>0</v>
      </c>
      <c r="N185" s="431">
        <f ca="1">Финансы!N23</f>
        <v>0</v>
      </c>
      <c r="O185" s="431">
        <f ca="1">Финансы!O23</f>
        <v>0</v>
      </c>
    </row>
    <row r="186" spans="1:15" ht="30">
      <c r="A186" s="71"/>
      <c r="B186" s="173" t="s">
        <v>164</v>
      </c>
      <c r="C186" s="237" t="s">
        <v>19</v>
      </c>
      <c r="D186" s="508" t="s">
        <v>134</v>
      </c>
      <c r="E186" s="71"/>
      <c r="F186" s="226">
        <f t="shared" ref="F186:O186" ca="1" si="46">F183+F184-F185</f>
        <v>0</v>
      </c>
      <c r="G186" s="226">
        <f t="shared" ca="1" si="46"/>
        <v>0</v>
      </c>
      <c r="H186" s="226">
        <f t="shared" ca="1" si="46"/>
        <v>0</v>
      </c>
      <c r="I186" s="226">
        <f t="shared" ca="1" si="46"/>
        <v>0</v>
      </c>
      <c r="J186" s="226">
        <f t="shared" ca="1" si="46"/>
        <v>0</v>
      </c>
      <c r="K186" s="226">
        <f t="shared" ca="1" si="46"/>
        <v>0</v>
      </c>
      <c r="L186" s="226">
        <f t="shared" ca="1" si="46"/>
        <v>0</v>
      </c>
      <c r="M186" s="226">
        <f t="shared" ca="1" si="46"/>
        <v>0</v>
      </c>
      <c r="N186" s="226">
        <f t="shared" ca="1" si="46"/>
        <v>0</v>
      </c>
      <c r="O186" s="226">
        <f t="shared" ca="1" si="46"/>
        <v>0</v>
      </c>
    </row>
    <row r="187" spans="1:15">
      <c r="A187" s="71"/>
      <c r="B187" s="173" t="s">
        <v>165</v>
      </c>
      <c r="C187" s="237" t="s">
        <v>19</v>
      </c>
      <c r="D187" s="240">
        <f ca="1">SUM(F187:O187)</f>
        <v>0</v>
      </c>
      <c r="E187" s="71"/>
      <c r="F187" s="226">
        <f t="shared" ref="F187:O187" ca="1" si="47">(F183+F186)/2*F182</f>
        <v>0</v>
      </c>
      <c r="G187" s="226">
        <f t="shared" ca="1" si="47"/>
        <v>0</v>
      </c>
      <c r="H187" s="226">
        <f t="shared" ca="1" si="47"/>
        <v>0</v>
      </c>
      <c r="I187" s="226">
        <f t="shared" ca="1" si="47"/>
        <v>0</v>
      </c>
      <c r="J187" s="226">
        <f t="shared" ca="1" si="47"/>
        <v>0</v>
      </c>
      <c r="K187" s="226">
        <f t="shared" ca="1" si="47"/>
        <v>0</v>
      </c>
      <c r="L187" s="226">
        <f t="shared" ca="1" si="47"/>
        <v>0</v>
      </c>
      <c r="M187" s="226">
        <f t="shared" ca="1" si="47"/>
        <v>0</v>
      </c>
      <c r="N187" s="226">
        <f t="shared" ca="1" si="47"/>
        <v>0</v>
      </c>
      <c r="O187" s="226">
        <f t="shared" ca="1" si="47"/>
        <v>0</v>
      </c>
    </row>
    <row r="188" spans="1:15">
      <c r="A188" s="71"/>
      <c r="B188" s="173" t="s">
        <v>166</v>
      </c>
      <c r="C188" s="237" t="s">
        <v>19</v>
      </c>
      <c r="D188" s="240">
        <f ca="1">SUM(F188:O188)</f>
        <v>0</v>
      </c>
      <c r="E188" s="71"/>
      <c r="F188" s="226">
        <f t="shared" ref="F188:O188" ca="1" si="48">F187</f>
        <v>0</v>
      </c>
      <c r="G188" s="226">
        <f t="shared" ca="1" si="48"/>
        <v>0</v>
      </c>
      <c r="H188" s="226">
        <f t="shared" ca="1" si="48"/>
        <v>0</v>
      </c>
      <c r="I188" s="226">
        <f t="shared" ca="1" si="48"/>
        <v>0</v>
      </c>
      <c r="J188" s="226">
        <f t="shared" ca="1" si="48"/>
        <v>0</v>
      </c>
      <c r="K188" s="226">
        <f t="shared" ca="1" si="48"/>
        <v>0</v>
      </c>
      <c r="L188" s="226">
        <f t="shared" ca="1" si="48"/>
        <v>0</v>
      </c>
      <c r="M188" s="226">
        <f t="shared" ca="1" si="48"/>
        <v>0</v>
      </c>
      <c r="N188" s="226">
        <f t="shared" ca="1" si="48"/>
        <v>0</v>
      </c>
      <c r="O188" s="226">
        <f t="shared" ca="1" si="48"/>
        <v>0</v>
      </c>
    </row>
    <row r="189" spans="1:15">
      <c r="A189" s="71"/>
      <c r="B189" s="164"/>
      <c r="C189" s="184"/>
      <c r="D189" s="71"/>
      <c r="E189" s="71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</row>
    <row r="190" spans="1:15">
      <c r="A190" s="71"/>
      <c r="B190" s="164"/>
      <c r="C190" s="184"/>
      <c r="D190" s="71"/>
      <c r="E190" s="71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</row>
    <row r="191" spans="1:15">
      <c r="A191" s="484" t="s">
        <v>844</v>
      </c>
      <c r="B191" s="497"/>
      <c r="C191" s="503"/>
      <c r="D191" s="509"/>
      <c r="E191" s="71"/>
      <c r="F191" s="432"/>
      <c r="G191" s="432"/>
      <c r="H191" s="432"/>
      <c r="I191" s="432"/>
      <c r="J191" s="432"/>
      <c r="K191" s="432"/>
      <c r="L191" s="432"/>
      <c r="M191" s="432"/>
      <c r="N191" s="432"/>
      <c r="O191" s="432"/>
    </row>
    <row r="192" spans="1:15">
      <c r="A192" s="71"/>
      <c r="B192" s="164"/>
      <c r="C192" s="184"/>
      <c r="D192" s="71"/>
      <c r="E192" s="71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</row>
    <row r="193" spans="2:15" ht="30">
      <c r="B193" s="494" t="s">
        <v>689</v>
      </c>
      <c r="C193" s="184"/>
      <c r="D193" s="240">
        <f>SUM(F193:O193)</f>
        <v>-145504.86134370681</v>
      </c>
      <c r="E193" s="71"/>
      <c r="F193" s="226">
        <f>-(F89*0.2)-((F91+F92+F95+F100)*0.2)</f>
        <v>-9280</v>
      </c>
      <c r="G193" s="226">
        <f t="shared" ref="G193:O193" si="49">-(G89*0.2)-((G91+G92+G95+G100)*0.2)</f>
        <v>-10483.199999999999</v>
      </c>
      <c r="H193" s="226">
        <f t="shared" si="49"/>
        <v>-11984.128000000004</v>
      </c>
      <c r="I193" s="226">
        <f t="shared" si="49"/>
        <v>-13813.329920000007</v>
      </c>
      <c r="J193" s="226">
        <f t="shared" si="49"/>
        <v>-15067.77825280001</v>
      </c>
      <c r="K193" s="226">
        <f t="shared" si="49"/>
        <v>-15670.489382912008</v>
      </c>
      <c r="L193" s="226">
        <f t="shared" si="49"/>
        <v>-16297.308958228488</v>
      </c>
      <c r="M193" s="226">
        <f t="shared" si="49"/>
        <v>-16949.201316557625</v>
      </c>
      <c r="N193" s="226">
        <f t="shared" si="49"/>
        <v>-17627.16936921993</v>
      </c>
      <c r="O193" s="226">
        <f t="shared" si="49"/>
        <v>-18332.256143988729</v>
      </c>
    </row>
    <row r="194" spans="2:15">
      <c r="B194" s="164" t="s">
        <v>74</v>
      </c>
      <c r="C194" s="184"/>
      <c r="D194" s="240">
        <f>SUM(F194:O194)</f>
        <v>-77931.453479970573</v>
      </c>
      <c r="E194" s="71"/>
      <c r="F194" s="226">
        <f>БДДС!F20</f>
        <v>-5500</v>
      </c>
      <c r="G194" s="226">
        <f>БДДС!G20</f>
        <v>-6032</v>
      </c>
      <c r="H194" s="226">
        <f>БДДС!H20</f>
        <v>-6597.7600000000011</v>
      </c>
      <c r="I194" s="226">
        <f>БДДС!I20</f>
        <v>-7424.1024000000025</v>
      </c>
      <c r="J194" s="226">
        <f>БДДС!J20</f>
        <v>-7896.545280000003</v>
      </c>
      <c r="K194" s="226">
        <f>БДДС!K20</f>
        <v>-8212.4070912000025</v>
      </c>
      <c r="L194" s="226">
        <f>БДДС!L20</f>
        <v>-8540.9033748480033</v>
      </c>
      <c r="M194" s="226">
        <f>БДДС!M20</f>
        <v>-8882.5395098419231</v>
      </c>
      <c r="N194" s="226">
        <f>БДДС!N20</f>
        <v>-9237.841090235599</v>
      </c>
      <c r="O194" s="226">
        <f>БДДС!O20</f>
        <v>-9607.3547338450244</v>
      </c>
    </row>
    <row r="195" spans="2:15">
      <c r="B195" s="164"/>
      <c r="C195" s="184"/>
      <c r="D195" s="226">
        <f>D193-D194</f>
        <v>-67573.40786373624</v>
      </c>
      <c r="E195" s="71"/>
      <c r="F195" s="226">
        <f>F193-F194</f>
        <v>-3780</v>
      </c>
      <c r="G195" s="226">
        <f t="shared" ref="G195:O195" si="50">G193-G194</f>
        <v>-4451.1999999999989</v>
      </c>
      <c r="H195" s="226">
        <f t="shared" si="50"/>
        <v>-5386.3680000000031</v>
      </c>
      <c r="I195" s="226">
        <f t="shared" si="50"/>
        <v>-6389.2275200000049</v>
      </c>
      <c r="J195" s="226">
        <f t="shared" si="50"/>
        <v>-7171.2329728000068</v>
      </c>
      <c r="K195" s="226">
        <f t="shared" si="50"/>
        <v>-7458.0822917120058</v>
      </c>
      <c r="L195" s="226">
        <f t="shared" si="50"/>
        <v>-7756.405583380485</v>
      </c>
      <c r="M195" s="226">
        <f t="shared" si="50"/>
        <v>-8066.6618067157015</v>
      </c>
      <c r="N195" s="226">
        <f t="shared" si="50"/>
        <v>-8389.3282789843306</v>
      </c>
      <c r="O195" s="226">
        <f t="shared" si="50"/>
        <v>-8724.9014101437042</v>
      </c>
    </row>
    <row r="196" spans="2:15">
      <c r="B196" s="164"/>
      <c r="C196" s="184"/>
      <c r="D196" s="71"/>
      <c r="E196" s="71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</row>
    <row r="197" spans="2:15" ht="45">
      <c r="B197" s="91" t="s">
        <v>845</v>
      </c>
      <c r="C197" s="184"/>
      <c r="D197" s="240">
        <f t="shared" ref="D197:D206" ca="1" si="51">SUM(F197:O197)</f>
        <v>90243.713067757257</v>
      </c>
      <c r="E197" s="71"/>
      <c r="F197" s="226">
        <f ca="1">F146</f>
        <v>-1229.5696000000025</v>
      </c>
      <c r="G197" s="226">
        <f t="shared" ref="G197:O197" ca="1" si="52">G146</f>
        <v>1628.1505024000217</v>
      </c>
      <c r="H197" s="226">
        <f t="shared" ca="1" si="52"/>
        <v>5549.7051705344347</v>
      </c>
      <c r="I197" s="226">
        <f t="shared" ca="1" si="52"/>
        <v>10873.765229684359</v>
      </c>
      <c r="J197" s="226">
        <f t="shared" ca="1" si="52"/>
        <v>13456.355460210645</v>
      </c>
      <c r="K197" s="226">
        <f t="shared" ca="1" si="52"/>
        <v>13186.444226746622</v>
      </c>
      <c r="L197" s="226">
        <f t="shared" ca="1" si="52"/>
        <v>12860.479278639163</v>
      </c>
      <c r="M197" s="226">
        <f t="shared" ca="1" si="52"/>
        <v>12473.684060445434</v>
      </c>
      <c r="N197" s="226">
        <f t="shared" ca="1" si="52"/>
        <v>10979.608348807495</v>
      </c>
      <c r="O197" s="226">
        <f t="shared" ca="1" si="52"/>
        <v>10465.090390289086</v>
      </c>
    </row>
    <row r="198" spans="2:15" ht="30">
      <c r="B198" s="91" t="s">
        <v>846</v>
      </c>
      <c r="C198" s="184"/>
      <c r="D198" s="240">
        <f t="shared" ca="1" si="51"/>
        <v>154995.58420376919</v>
      </c>
      <c r="E198" s="71"/>
      <c r="F198" s="226">
        <f ca="1">БДДС!F28</f>
        <v>2472.3559999999998</v>
      </c>
      <c r="G198" s="226">
        <f ca="1">БДДС!G28</f>
        <v>5893.2479360000143</v>
      </c>
      <c r="H198" s="226">
        <f ca="1">БДДС!H28</f>
        <v>10601.295420416049</v>
      </c>
      <c r="I198" s="226">
        <f ca="1">БДДС!I28</f>
        <v>16734.533787959343</v>
      </c>
      <c r="J198" s="226">
        <f ca="1">БДДС!J28</f>
        <v>19996.131644245033</v>
      </c>
      <c r="K198" s="226">
        <f ca="1">БДДС!K28</f>
        <v>20012.551216873166</v>
      </c>
      <c r="L198" s="226">
        <f ca="1">БДДС!L28</f>
        <v>19985.755733590486</v>
      </c>
      <c r="M198" s="226">
        <f ca="1">БДДС!M28</f>
        <v>19911.559769186861</v>
      </c>
      <c r="N198" s="226">
        <f ca="1">БДДС!N28</f>
        <v>19785.472899357206</v>
      </c>
      <c r="O198" s="226">
        <f ca="1">БДДС!O28</f>
        <v>19602.679796141019</v>
      </c>
    </row>
    <row r="199" spans="2:15">
      <c r="B199" s="164"/>
      <c r="C199" s="184"/>
      <c r="D199" s="240">
        <f t="shared" ca="1" si="51"/>
        <v>-64751.87113601192</v>
      </c>
      <c r="E199" s="71"/>
      <c r="F199" s="226">
        <f ca="1">F197-F198</f>
        <v>-3701.9256000000023</v>
      </c>
      <c r="G199" s="226">
        <f t="shared" ref="G199:O199" ca="1" si="53">G197-G198</f>
        <v>-4265.0974335999927</v>
      </c>
      <c r="H199" s="226">
        <f t="shared" ca="1" si="53"/>
        <v>-5051.590249881614</v>
      </c>
      <c r="I199" s="226">
        <f t="shared" ca="1" si="53"/>
        <v>-5860.7685582749837</v>
      </c>
      <c r="J199" s="226">
        <f t="shared" ca="1" si="53"/>
        <v>-6539.7761840343883</v>
      </c>
      <c r="K199" s="226">
        <f t="shared" ca="1" si="53"/>
        <v>-6826.1069901265437</v>
      </c>
      <c r="L199" s="226">
        <f t="shared" ca="1" si="53"/>
        <v>-7125.2764549513231</v>
      </c>
      <c r="M199" s="226">
        <f t="shared" ca="1" si="53"/>
        <v>-7437.8757087414269</v>
      </c>
      <c r="N199" s="226">
        <f t="shared" ca="1" si="53"/>
        <v>-8805.8645505497116</v>
      </c>
      <c r="O199" s="226">
        <f t="shared" ca="1" si="53"/>
        <v>-9137.5894058519334</v>
      </c>
    </row>
    <row r="201" spans="2:15" ht="45">
      <c r="B201" s="91" t="s">
        <v>849</v>
      </c>
      <c r="C201" s="184"/>
      <c r="D201" s="240">
        <f>SUM(F201:O201)</f>
        <v>0</v>
      </c>
      <c r="E201" s="71"/>
      <c r="F201" s="226">
        <f>F157</f>
        <v>0</v>
      </c>
      <c r="G201" s="226">
        <f t="shared" ref="G201:O201" si="54">G157</f>
        <v>0</v>
      </c>
      <c r="H201" s="226">
        <f t="shared" si="54"/>
        <v>0</v>
      </c>
      <c r="I201" s="226">
        <f t="shared" si="54"/>
        <v>0</v>
      </c>
      <c r="J201" s="226">
        <f t="shared" si="54"/>
        <v>0</v>
      </c>
      <c r="K201" s="226">
        <f t="shared" si="54"/>
        <v>0</v>
      </c>
      <c r="L201" s="226">
        <f t="shared" si="54"/>
        <v>0</v>
      </c>
      <c r="M201" s="226">
        <f t="shared" si="54"/>
        <v>0</v>
      </c>
      <c r="N201" s="226">
        <f t="shared" si="54"/>
        <v>0</v>
      </c>
      <c r="O201" s="226">
        <f t="shared" si="54"/>
        <v>0</v>
      </c>
    </row>
    <row r="202" spans="2:15" ht="30">
      <c r="B202" s="91" t="s">
        <v>850</v>
      </c>
      <c r="C202" s="184"/>
      <c r="D202" s="240">
        <f>SUM(F202:O202)</f>
        <v>0</v>
      </c>
      <c r="E202" s="71"/>
      <c r="F202" s="226">
        <f>БДДС!F39</f>
        <v>0</v>
      </c>
      <c r="G202" s="226">
        <f>БДДС!G39</f>
        <v>0</v>
      </c>
      <c r="H202" s="226">
        <f>БДДС!H39</f>
        <v>0</v>
      </c>
      <c r="I202" s="226">
        <f>БДДС!I39</f>
        <v>0</v>
      </c>
      <c r="J202" s="226">
        <f>БДДС!J39</f>
        <v>0</v>
      </c>
      <c r="K202" s="226">
        <f>БДДС!K39</f>
        <v>0</v>
      </c>
      <c r="L202" s="226">
        <f>БДДС!L39</f>
        <v>0</v>
      </c>
      <c r="M202" s="226">
        <f>БДДС!M39</f>
        <v>0</v>
      </c>
      <c r="N202" s="226">
        <f>БДДС!N39</f>
        <v>0</v>
      </c>
      <c r="O202" s="226">
        <f>БДДС!O39</f>
        <v>0</v>
      </c>
    </row>
    <row r="203" spans="2:15">
      <c r="B203" s="164"/>
      <c r="C203" s="184"/>
      <c r="D203" s="226">
        <f>D201-D202</f>
        <v>0</v>
      </c>
      <c r="E203" s="71"/>
      <c r="F203" s="226">
        <f>F201-F202</f>
        <v>0</v>
      </c>
      <c r="G203" s="226">
        <f t="shared" ref="G203:O203" si="55">G201-G202</f>
        <v>0</v>
      </c>
      <c r="H203" s="226">
        <f t="shared" si="55"/>
        <v>0</v>
      </c>
      <c r="I203" s="226">
        <f t="shared" si="55"/>
        <v>0</v>
      </c>
      <c r="J203" s="226">
        <f t="shared" si="55"/>
        <v>0</v>
      </c>
      <c r="K203" s="226">
        <f t="shared" si="55"/>
        <v>0</v>
      </c>
      <c r="L203" s="226">
        <f t="shared" si="55"/>
        <v>0</v>
      </c>
      <c r="M203" s="226">
        <f t="shared" si="55"/>
        <v>0</v>
      </c>
      <c r="N203" s="226">
        <f t="shared" si="55"/>
        <v>0</v>
      </c>
      <c r="O203" s="226">
        <f t="shared" si="55"/>
        <v>0</v>
      </c>
    </row>
    <row r="205" spans="2:15" ht="45">
      <c r="B205" s="91" t="s">
        <v>847</v>
      </c>
      <c r="C205" s="184"/>
      <c r="D205" s="240">
        <f t="shared" si="51"/>
        <v>20000</v>
      </c>
      <c r="E205" s="71"/>
      <c r="F205" s="226">
        <f>F171</f>
        <v>10000</v>
      </c>
      <c r="G205" s="226">
        <f t="shared" ref="G205:O205" si="56">G171</f>
        <v>0</v>
      </c>
      <c r="H205" s="226">
        <f t="shared" si="56"/>
        <v>0</v>
      </c>
      <c r="I205" s="226">
        <f t="shared" si="56"/>
        <v>0</v>
      </c>
      <c r="J205" s="226">
        <f t="shared" si="56"/>
        <v>0</v>
      </c>
      <c r="K205" s="226">
        <f t="shared" si="56"/>
        <v>10000</v>
      </c>
      <c r="L205" s="226">
        <f t="shared" si="56"/>
        <v>0</v>
      </c>
      <c r="M205" s="226">
        <f t="shared" si="56"/>
        <v>0</v>
      </c>
      <c r="N205" s="226">
        <f t="shared" si="56"/>
        <v>0</v>
      </c>
      <c r="O205" s="226">
        <f t="shared" si="56"/>
        <v>0</v>
      </c>
    </row>
    <row r="206" spans="2:15" ht="30">
      <c r="B206" s="91" t="s">
        <v>848</v>
      </c>
      <c r="C206" s="184"/>
      <c r="D206" s="240">
        <f t="shared" si="51"/>
        <v>20000</v>
      </c>
      <c r="E206" s="71"/>
      <c r="F206" s="226">
        <f>БДДС!F53</f>
        <v>10000</v>
      </c>
      <c r="G206" s="226">
        <f>БДДС!G53</f>
        <v>0</v>
      </c>
      <c r="H206" s="226">
        <f>БДДС!H53</f>
        <v>0</v>
      </c>
      <c r="I206" s="226">
        <f>БДДС!I53</f>
        <v>0</v>
      </c>
      <c r="J206" s="226">
        <f>БДДС!J53</f>
        <v>0</v>
      </c>
      <c r="K206" s="226">
        <f>БДДС!K53</f>
        <v>10000</v>
      </c>
      <c r="L206" s="226">
        <f>БДДС!L53</f>
        <v>0</v>
      </c>
      <c r="M206" s="226">
        <f>БДДС!M53</f>
        <v>0</v>
      </c>
      <c r="N206" s="226">
        <f>БДДС!N53</f>
        <v>0</v>
      </c>
      <c r="O206" s="226">
        <f>БДДС!O53</f>
        <v>0</v>
      </c>
    </row>
    <row r="207" spans="2:15">
      <c r="B207" s="164"/>
      <c r="C207" s="184"/>
      <c r="D207" s="226">
        <f>D205-D206</f>
        <v>0</v>
      </c>
      <c r="E207" s="71"/>
      <c r="F207" s="226">
        <f>F205-F206</f>
        <v>0</v>
      </c>
      <c r="G207" s="226">
        <f t="shared" ref="G207:O207" si="57">G205-G206</f>
        <v>0</v>
      </c>
      <c r="H207" s="226">
        <f t="shared" si="57"/>
        <v>0</v>
      </c>
      <c r="I207" s="226">
        <f t="shared" si="57"/>
        <v>0</v>
      </c>
      <c r="J207" s="226">
        <f t="shared" si="57"/>
        <v>0</v>
      </c>
      <c r="K207" s="226">
        <f t="shared" si="57"/>
        <v>0</v>
      </c>
      <c r="L207" s="226">
        <f t="shared" si="57"/>
        <v>0</v>
      </c>
      <c r="M207" s="226">
        <f t="shared" si="57"/>
        <v>0</v>
      </c>
      <c r="N207" s="226">
        <f t="shared" si="57"/>
        <v>0</v>
      </c>
      <c r="O207" s="226">
        <f t="shared" si="57"/>
        <v>0</v>
      </c>
    </row>
  </sheetData>
  <conditionalFormatting sqref="I27:N32">
    <cfRule type="colorScale" priority="5">
      <colorScale>
        <cfvo type="min"/>
        <cfvo type="max"/>
        <color rgb="FFFCFCFF"/>
        <color rgb="FF63BE7B"/>
      </colorScale>
    </cfRule>
  </conditionalFormatting>
  <conditionalFormatting sqref="I36:N41">
    <cfRule type="colorScale" priority="4">
      <colorScale>
        <cfvo type="min"/>
        <cfvo type="max"/>
        <color rgb="FFFCFCFF"/>
        <color rgb="FF63BE7B"/>
      </colorScale>
    </cfRule>
  </conditionalFormatting>
  <conditionalFormatting sqref="I45:N50">
    <cfRule type="colorScale" priority="3">
      <colorScale>
        <cfvo type="min"/>
        <cfvo type="max"/>
        <color rgb="FFFCFCFF"/>
        <color rgb="FF63BE7B"/>
      </colorScale>
    </cfRule>
  </conditionalFormatting>
  <conditionalFormatting sqref="I54:N59">
    <cfRule type="colorScale" priority="2">
      <colorScale>
        <cfvo type="min"/>
        <cfvo type="max"/>
        <color rgb="FFFCFCFF"/>
        <color rgb="FF63BE7B"/>
      </colorScale>
    </cfRule>
  </conditionalFormatting>
  <conditionalFormatting sqref="I63:N68">
    <cfRule type="colorScale" priority="1">
      <colorScale>
        <cfvo type="min"/>
        <cfvo type="max"/>
        <color rgb="FFFCFCFF"/>
        <color rgb="FF63BE7B"/>
      </colorScale>
    </cfRule>
  </conditionalFormatting>
  <conditionalFormatting sqref="W135:AB143 W145:AB146">
    <cfRule type="colorScale" priority="7">
      <colorScale>
        <cfvo type="min"/>
        <cfvo type="max"/>
        <color rgb="FFFCFCFF"/>
        <color rgb="FF63BE7B"/>
      </colorScale>
    </cfRule>
  </conditionalFormatting>
  <hyperlinks>
    <hyperlink ref="I1" location="Контроль!A1" display="Контроль!A1"/>
    <hyperlink ref="A144" location="СтрессТест!A132" display="источник"/>
    <hyperlink ref="A104" location="СтрессТест!A102" display="источник"/>
    <hyperlink ref="A80" location="Чувствительность!A144" display="источник"/>
    <hyperlink ref="A81" location="Чувствительность!A155" display="источник"/>
    <hyperlink ref="A26" location="Чувствительность!D10" display="перейти"/>
    <hyperlink ref="A35" location="Чувствительность!D14" display="перейти"/>
    <hyperlink ref="A44" location="Чувствительность!D112" display="перейти"/>
    <hyperlink ref="A53" location="Чувствительность!D112" display="перейти"/>
    <hyperlink ref="A62" location="Чувствительность!D112" display="перейти"/>
  </hyperlink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  <headerFooter>
    <oddFooter>&amp;C&amp;9Страница  &amp;P из &amp;N&amp;R&amp;G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outlinePr summaryRight="0"/>
    <pageSetUpPr fitToPage="1"/>
  </sheetPr>
  <dimension ref="A1:H47"/>
  <sheetViews>
    <sheetView showGridLines="0" zoomScale="85" zoomScaleNormal="85" workbookViewId="0">
      <pane ySplit="3" topLeftCell="A4" activePane="bottomLeft" state="frozen"/>
      <selection activeCell="C1" sqref="C1"/>
      <selection pane="bottomLeft" activeCell="E34" sqref="E34"/>
    </sheetView>
  </sheetViews>
  <sheetFormatPr defaultColWidth="0" defaultRowHeight="15" zeroHeight="1"/>
  <cols>
    <col min="1" max="1" width="25.42578125" style="344" customWidth="1"/>
    <col min="2" max="2" width="11.140625" style="342" customWidth="1"/>
    <col min="3" max="3" width="135.42578125" style="342" customWidth="1"/>
    <col min="4" max="4" width="4.42578125" style="342" customWidth="1"/>
    <col min="5" max="5" width="19.5703125" style="344" customWidth="1"/>
    <col min="6" max="6" width="0.140625" style="342" customWidth="1"/>
    <col min="7" max="8" width="0" style="342" hidden="1" customWidth="1"/>
    <col min="9" max="16384" width="8.85546875" style="342" hidden="1"/>
  </cols>
  <sheetData>
    <row r="1" spans="1:5" ht="18.75">
      <c r="A1" s="653" t="s">
        <v>728</v>
      </c>
    </row>
    <row r="2" spans="1:5" ht="17.649999999999999" customHeight="1">
      <c r="A2" s="341" t="str">
        <f>Паспорт_ФМ_резидент!B7</f>
        <v>Разработка, производство, модернизация и реализация …</v>
      </c>
    </row>
    <row r="3" spans="1:5" ht="9.6" customHeight="1">
      <c r="A3" s="72"/>
      <c r="B3" s="72"/>
      <c r="C3" s="74"/>
      <c r="D3" s="72"/>
      <c r="E3" s="72"/>
    </row>
    <row r="4" spans="1:5"/>
    <row r="5" spans="1:5"/>
    <row r="6" spans="1:5">
      <c r="C6" s="343"/>
    </row>
    <row r="7" spans="1:5"/>
    <row r="8" spans="1:5"/>
    <row r="9" spans="1:5"/>
    <row r="10" spans="1:5"/>
    <row r="11" spans="1:5"/>
    <row r="12" spans="1:5"/>
    <row r="13" spans="1:5"/>
    <row r="14" spans="1:5"/>
    <row r="15" spans="1:5"/>
    <row r="16" spans="1:5"/>
    <row r="17" spans="1:1"/>
    <row r="18" spans="1:1">
      <c r="A18" s="343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/>
    <row r="29" spans="1:1"/>
    <row r="30" spans="1:1"/>
    <row r="31" spans="1:1"/>
    <row r="32" spans="1:1"/>
    <row r="33" spans="3:3"/>
    <row r="34" spans="3:3"/>
    <row r="35" spans="3:3"/>
    <row r="36" spans="3:3"/>
    <row r="37" spans="3:3"/>
    <row r="38" spans="3:3"/>
    <row r="39" spans="3:3"/>
    <row r="40" spans="3:3"/>
    <row r="41" spans="3:3"/>
    <row r="42" spans="3:3">
      <c r="C42" s="343"/>
    </row>
    <row r="43" spans="3:3"/>
    <row r="44" spans="3:3"/>
    <row r="45" spans="3:3"/>
    <row r="46" spans="3:3"/>
    <row r="47" spans="3:3"/>
  </sheetData>
  <printOptions horizontalCentered="1" verticalCentered="1"/>
  <pageMargins left="0.25" right="0.25" top="0.75" bottom="0.75" header="0.3" footer="0.3"/>
  <pageSetup paperSize="9" scale="72" orientation="landscape" r:id="rId1"/>
  <headerFooter>
    <oddFooter>&amp;C&amp;9Страница  &amp;P из &amp;N&amp;R&amp;G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theme="9" tint="0.59999389629810485"/>
    <outlinePr summaryRight="0"/>
    <pageSetUpPr fitToPage="1"/>
  </sheetPr>
  <dimension ref="A1:AD23"/>
  <sheetViews>
    <sheetView zoomScaleNormal="100" workbookViewId="0">
      <pane xSplit="4" ySplit="4" topLeftCell="E5" activePane="bottomRight" state="frozen"/>
      <selection activeCell="P53" sqref="P53"/>
      <selection pane="topRight" activeCell="P53" sqref="P53"/>
      <selection pane="bottomLeft" activeCell="P53" sqref="P53"/>
      <selection pane="bottomRight" activeCell="G19" sqref="G19"/>
    </sheetView>
  </sheetViews>
  <sheetFormatPr defaultRowHeight="15" outlineLevelCol="1"/>
  <cols>
    <col min="1" max="1" width="11.5703125" customWidth="1"/>
    <col min="2" max="2" width="27.7109375" customWidth="1"/>
    <col min="3" max="3" width="11" style="14" customWidth="1"/>
    <col min="4" max="4" width="11" customWidth="1"/>
    <col min="5" max="5" width="2.28515625" customWidth="1"/>
    <col min="16" max="16" width="2.2851562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32.25">
      <c r="A1" s="654" t="s">
        <v>665</v>
      </c>
      <c r="B1" s="220"/>
      <c r="C1" s="367"/>
      <c r="D1" s="71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354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>
      <c r="A2" s="71" t="str">
        <f>Паспорт_ФМ_резидент!B7</f>
        <v>Разработка, производство, модернизация и реализация …</v>
      </c>
      <c r="B2" s="71"/>
      <c r="C2" s="367"/>
      <c r="D2" s="71"/>
      <c r="E2" s="71"/>
      <c r="F2" s="347">
        <v>1</v>
      </c>
      <c r="G2" s="347">
        <v>2</v>
      </c>
      <c r="H2" s="347">
        <v>3</v>
      </c>
      <c r="I2" s="347">
        <v>4</v>
      </c>
      <c r="J2" s="347">
        <v>5</v>
      </c>
      <c r="K2" s="347">
        <v>6</v>
      </c>
      <c r="L2" s="347">
        <v>7</v>
      </c>
      <c r="M2" s="347">
        <v>8</v>
      </c>
      <c r="N2" s="347">
        <v>9</v>
      </c>
      <c r="O2" s="347">
        <v>10</v>
      </c>
      <c r="P2" s="355"/>
      <c r="Q2" s="156"/>
      <c r="R2" s="355">
        <v>11</v>
      </c>
      <c r="S2" s="347">
        <f>R2+1</f>
        <v>12</v>
      </c>
      <c r="T2" s="347">
        <f>S2+1</f>
        <v>13</v>
      </c>
      <c r="U2" s="347">
        <f t="shared" ref="U2:AA3" si="0">T2+1</f>
        <v>14</v>
      </c>
      <c r="V2" s="347">
        <f t="shared" si="0"/>
        <v>15</v>
      </c>
      <c r="W2" s="347">
        <f t="shared" si="0"/>
        <v>16</v>
      </c>
      <c r="X2" s="347">
        <f t="shared" si="0"/>
        <v>17</v>
      </c>
      <c r="Y2" s="347">
        <f t="shared" si="0"/>
        <v>18</v>
      </c>
      <c r="Z2" s="347">
        <f t="shared" si="0"/>
        <v>19</v>
      </c>
      <c r="AA2" s="347">
        <f t="shared" si="0"/>
        <v>20</v>
      </c>
      <c r="AB2" s="71"/>
      <c r="AC2" s="71"/>
      <c r="AD2" s="71"/>
    </row>
    <row r="3" spans="1:30" s="18" customFormat="1" ht="28.5">
      <c r="A3" s="78" t="s">
        <v>2</v>
      </c>
      <c r="B3" s="78" t="s">
        <v>3</v>
      </c>
      <c r="C3" s="127" t="s">
        <v>12</v>
      </c>
      <c r="D3" s="194" t="str">
        <f>CONCATENATE("Итого ",F3,"-",O3)</f>
        <v>Итого 2025-2034</v>
      </c>
      <c r="E3" s="152"/>
      <c r="F3" s="127"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671"/>
      <c r="Q3" s="157"/>
      <c r="R3" s="160">
        <v>2035</v>
      </c>
      <c r="S3" s="160">
        <f>R3+1</f>
        <v>2036</v>
      </c>
      <c r="T3" s="160">
        <f>S3+1</f>
        <v>2037</v>
      </c>
      <c r="U3" s="160">
        <f t="shared" si="0"/>
        <v>2038</v>
      </c>
      <c r="V3" s="160">
        <f t="shared" si="0"/>
        <v>2039</v>
      </c>
      <c r="W3" s="160">
        <f t="shared" si="0"/>
        <v>2040</v>
      </c>
      <c r="X3" s="160">
        <f t="shared" si="0"/>
        <v>2041</v>
      </c>
      <c r="Y3" s="160">
        <f t="shared" si="0"/>
        <v>2042</v>
      </c>
      <c r="Z3" s="160">
        <f t="shared" si="0"/>
        <v>2043</v>
      </c>
      <c r="AA3" s="160">
        <f t="shared" si="0"/>
        <v>2044</v>
      </c>
      <c r="AB3" s="152"/>
      <c r="AC3" s="152"/>
      <c r="AD3" s="152"/>
    </row>
    <row r="4" spans="1:30" ht="8.1" customHeight="1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6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>
      <c r="A5" s="236"/>
      <c r="B5" s="206"/>
      <c r="C5" s="370"/>
      <c r="D5" s="146"/>
      <c r="E5" s="71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349"/>
      <c r="Q5" s="156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>
      <c r="A6" s="570" t="s">
        <v>732</v>
      </c>
      <c r="B6" s="572"/>
      <c r="C6" s="575"/>
      <c r="D6" s="575"/>
      <c r="E6" s="7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349"/>
      <c r="Q6" s="156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>
      <c r="A7" s="146"/>
      <c r="B7" s="146" t="str">
        <f>Макро!B45</f>
        <v>объект налог.обл.ДОХОД-РАСХОД</v>
      </c>
      <c r="C7" s="370"/>
      <c r="D7" s="146"/>
      <c r="E7" s="71"/>
      <c r="F7" s="225">
        <f ca="1">БДР!F25*Макро!F45</f>
        <v>390.37199999999939</v>
      </c>
      <c r="G7" s="225">
        <f ca="1">БДР!G25*Макро!G45</f>
        <v>930.51283200000069</v>
      </c>
      <c r="H7" s="225">
        <f ca="1">БДР!H25*Макро!H45</f>
        <v>1673.8887505920013</v>
      </c>
      <c r="I7" s="225">
        <f ca="1">БДР!I25*Макро!I45</f>
        <v>2642.2948086251581</v>
      </c>
      <c r="J7" s="225">
        <f ca="1">БДР!J25*Макро!J45</f>
        <v>3157.2839438281667</v>
      </c>
      <c r="K7" s="225">
        <f ca="1">БДР!K25*Макро!K45</f>
        <v>3159.8765079273412</v>
      </c>
      <c r="L7" s="225">
        <f ca="1">БДР!L25*Макро!L45</f>
        <v>3155.6456421458624</v>
      </c>
      <c r="M7" s="225">
        <f ca="1">БДР!M25*Макро!M45</f>
        <v>3143.930489871605</v>
      </c>
      <c r="N7" s="225">
        <f ca="1">БДР!N25*Макро!N45</f>
        <v>3124.0220367406109</v>
      </c>
      <c r="O7" s="225">
        <f ca="1">БДР!O25*Макро!O45</f>
        <v>3095.1599678117341</v>
      </c>
      <c r="P7" s="349"/>
      <c r="Q7" s="156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>
      <c r="A8" s="146"/>
      <c r="B8" s="146"/>
      <c r="C8" s="370"/>
      <c r="D8" s="146"/>
      <c r="E8" s="71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349"/>
      <c r="Q8" s="156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>
      <c r="A9" s="146"/>
      <c r="B9" s="146"/>
      <c r="C9" s="370"/>
      <c r="D9" s="146"/>
      <c r="E9" s="71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349"/>
      <c r="Q9" s="156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>
      <c r="A10" s="146"/>
      <c r="B10" s="146"/>
      <c r="C10" s="370"/>
      <c r="D10" s="146"/>
      <c r="E10" s="71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349"/>
      <c r="Q10" s="156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>
      <c r="A11" s="146"/>
      <c r="B11" s="146"/>
      <c r="C11" s="370"/>
      <c r="D11" s="146"/>
      <c r="E11" s="71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349"/>
      <c r="Q11" s="156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>
      <c r="A12" s="146"/>
      <c r="B12" s="146"/>
      <c r="C12" s="370"/>
      <c r="D12" s="146"/>
      <c r="E12" s="71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349"/>
      <c r="Q12" s="156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>
      <c r="A13" s="570" t="s">
        <v>733</v>
      </c>
      <c r="B13" s="572"/>
      <c r="C13" s="575"/>
      <c r="D13" s="575"/>
      <c r="E13" s="7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349"/>
      <c r="Q13" s="156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>
      <c r="A14" s="146"/>
      <c r="B14" s="146" t="str">
        <f>Макро!B46</f>
        <v>объект налог.обл.ДОХОД-РАСХОД льгота</v>
      </c>
      <c r="C14" s="370"/>
      <c r="D14" s="146"/>
      <c r="E14" s="71"/>
      <c r="F14" s="225">
        <f ca="1">БДР!F25*Макро!F46</f>
        <v>130.1239999999998</v>
      </c>
      <c r="G14" s="225">
        <f ca="1">БДР!G25*Макро!G46</f>
        <v>310.17094400000025</v>
      </c>
      <c r="H14" s="225">
        <f ca="1">БДР!H25*Макро!H46</f>
        <v>557.96291686400048</v>
      </c>
      <c r="I14" s="225">
        <f ca="1">БДР!I25*Макро!I46</f>
        <v>880.76493620838619</v>
      </c>
      <c r="J14" s="225">
        <f ca="1">БДР!J25*Макро!J46</f>
        <v>1052.4279812760558</v>
      </c>
      <c r="K14" s="225">
        <f ca="1">БДР!K25*Макро!K46</f>
        <v>1053.2921693091137</v>
      </c>
      <c r="L14" s="225">
        <f ca="1">БДР!L25*Макро!L46</f>
        <v>1051.8818807152875</v>
      </c>
      <c r="M14" s="225">
        <f ca="1">БДР!M25*Макро!M46</f>
        <v>1047.9768299572017</v>
      </c>
      <c r="N14" s="225">
        <f ca="1">БДР!N25*Макро!N46</f>
        <v>1041.340678913537</v>
      </c>
      <c r="O14" s="225">
        <f ca="1">БДР!O25*Макро!O46</f>
        <v>1031.7199892705783</v>
      </c>
      <c r="P14" s="349"/>
      <c r="Q14" s="156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>
      <c r="A15" s="146"/>
      <c r="B15" s="537"/>
      <c r="C15" s="370"/>
      <c r="D15" s="146"/>
      <c r="E15" s="71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349"/>
      <c r="Q15" s="156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>
      <c r="A16" s="146"/>
      <c r="B16" s="414"/>
      <c r="C16" s="370"/>
      <c r="D16" s="146"/>
      <c r="E16" s="71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349"/>
      <c r="Q16" s="156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>
      <c r="A17" s="146"/>
      <c r="B17" s="414"/>
      <c r="C17" s="370"/>
      <c r="D17" s="146"/>
      <c r="E17" s="71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349"/>
      <c r="Q17" s="71"/>
    </row>
    <row r="18" spans="1:17">
      <c r="A18" s="146"/>
      <c r="B18" s="169" t="str">
        <f t="array" aca="1" ref="B18" ca="1">HYPERLINK(CELL("адрес",БДР!$A$1),"Перейти на лист БДР")</f>
        <v>Перейти на лист БДР</v>
      </c>
      <c r="C18" s="370"/>
      <c r="D18" s="146"/>
      <c r="E18" s="71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71"/>
      <c r="Q18" s="71"/>
    </row>
    <row r="19" spans="1:17">
      <c r="A19" s="146"/>
      <c r="B19" s="169" t="str">
        <f t="array" aca="1" ref="B19" ca="1">HYPERLINK(CELL("адрес",БДДС!$A$1),"Перейти на лист БДДС")</f>
        <v>Перейти на лист БДДС</v>
      </c>
      <c r="C19" s="370"/>
      <c r="D19" s="146"/>
      <c r="E19" s="71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71"/>
      <c r="Q19" s="71"/>
    </row>
    <row r="20" spans="1:17">
      <c r="A20" s="146"/>
      <c r="B20" s="169" t="str">
        <f t="array" aca="1" ref="B20" ca="1">HYPERLINK(CELL("адрес",Баланс!$A$1),"Перейти на лист Баланс")</f>
        <v>Перейти на лист Баланс</v>
      </c>
      <c r="C20" s="370"/>
      <c r="D20" s="146"/>
      <c r="E20" s="71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71"/>
      <c r="Q20" s="71"/>
    </row>
    <row r="21" spans="1:17">
      <c r="A21" s="146"/>
      <c r="B21" s="169" t="str">
        <f t="array" aca="1" ref="B21" ca="1">HYPERLINK(CELL("адрес",Дашборд_ИтогТабл!$A$1),"Перейти на лист Дашборд_1")</f>
        <v>Перейти на лист Дашборд_1</v>
      </c>
      <c r="C21" s="370"/>
      <c r="D21" s="146"/>
      <c r="E21" s="71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71"/>
      <c r="Q21" s="71"/>
    </row>
    <row r="22" spans="1:17" ht="30">
      <c r="A22" s="146"/>
      <c r="B22" s="169" t="str">
        <f t="array" aca="1" ref="B22" ca="1">HYPERLINK(CELL("адрес",Дашборд_Основной!$A$1),"Перейти на лист Дашборд_Общий")</f>
        <v>Перейти на лист Дашборд_Общий</v>
      </c>
      <c r="C22" s="370"/>
      <c r="D22" s="146"/>
      <c r="E22" s="71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71"/>
      <c r="Q22" s="71"/>
    </row>
    <row r="23" spans="1:17" ht="30">
      <c r="A23" s="146"/>
      <c r="B23" s="169" t="str">
        <f t="array" aca="1" ref="B23" ca="1">HYPERLINK(CELL("адрес",Дашборд_налоги!$A$1),"Перейти на лист Дашборд_Налоги")</f>
        <v>Перейти на лист Дашборд_Налоги</v>
      </c>
      <c r="C23" s="370"/>
      <c r="D23" s="146"/>
      <c r="E23" s="71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71"/>
      <c r="Q23" s="71"/>
    </row>
  </sheetData>
  <hyperlinks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59999389629810485"/>
    <outlinePr summaryBelow="0" summaryRight="0"/>
    <pageSetUpPr fitToPage="1"/>
  </sheetPr>
  <dimension ref="A1:AA178"/>
  <sheetViews>
    <sheetView zoomScale="115" zoomScaleNormal="115" workbookViewId="0">
      <pane xSplit="4" ySplit="4" topLeftCell="E5" activePane="bottomRight" state="frozen"/>
      <selection pane="topRight"/>
      <selection pane="bottomLeft"/>
      <selection pane="bottomRight" activeCell="D151" sqref="D151"/>
    </sheetView>
  </sheetViews>
  <sheetFormatPr defaultRowHeight="15" outlineLevelRow="1" outlineLevelCol="1"/>
  <cols>
    <col min="1" max="1" width="11.5703125" customWidth="1"/>
    <col min="2" max="2" width="27.7109375" customWidth="1"/>
    <col min="3" max="3" width="11" style="5" customWidth="1"/>
    <col min="4" max="4" width="11" customWidth="1"/>
    <col min="5" max="5" width="2.28515625" customWidth="1"/>
    <col min="16" max="16" width="1.710937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27" ht="25.5">
      <c r="A1" s="651" t="s">
        <v>470</v>
      </c>
      <c r="B1" s="71"/>
      <c r="C1" s="184"/>
      <c r="D1" s="71"/>
      <c r="E1" s="71"/>
      <c r="F1" s="71"/>
      <c r="G1" s="71"/>
      <c r="H1" s="151" t="str">
        <f ca="1">Контроль!$Q$1</f>
        <v>Ошибок нет</v>
      </c>
      <c r="I1" s="71"/>
      <c r="J1" s="71"/>
      <c r="K1" s="71"/>
      <c r="L1" s="71"/>
      <c r="M1" s="71"/>
      <c r="N1" s="71"/>
      <c r="O1" s="71"/>
      <c r="P1" s="71"/>
      <c r="Q1" s="155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>
      <c r="A2" s="71" t="str">
        <f>Паспорт_ФМ_резидент!B7</f>
        <v>Разработка, производство, модернизация и реализация …</v>
      </c>
      <c r="B2" s="71"/>
      <c r="C2" s="184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59"/>
      <c r="Q2" s="156"/>
      <c r="R2" s="159">
        <v>11</v>
      </c>
      <c r="S2" s="159">
        <v>12</v>
      </c>
      <c r="T2" s="159">
        <v>13</v>
      </c>
      <c r="U2" s="159">
        <v>14</v>
      </c>
      <c r="V2" s="159">
        <v>15</v>
      </c>
      <c r="W2" s="159">
        <v>16</v>
      </c>
      <c r="X2" s="159">
        <v>17</v>
      </c>
      <c r="Y2" s="159">
        <v>18</v>
      </c>
      <c r="Z2" s="159">
        <v>19</v>
      </c>
      <c r="AA2" s="159">
        <v>20</v>
      </c>
    </row>
    <row r="3" spans="1:27" s="18" customFormat="1" ht="28.5">
      <c r="A3" s="78"/>
      <c r="B3" s="78" t="s">
        <v>3</v>
      </c>
      <c r="C3" s="185" t="s">
        <v>12</v>
      </c>
      <c r="D3" s="194" t="str">
        <f>CONCATENATE("Итого ",F3,"-",O3)</f>
        <v>Итого 2025-2034</v>
      </c>
      <c r="E3" s="152"/>
      <c r="F3" s="766">
        <v>2025</v>
      </c>
      <c r="G3" s="127">
        <f>F3+1</f>
        <v>2026</v>
      </c>
      <c r="H3" s="127">
        <f t="shared" ref="H3:O3" si="0">G3+1</f>
        <v>2027</v>
      </c>
      <c r="I3" s="127">
        <f t="shared" si="0"/>
        <v>2028</v>
      </c>
      <c r="J3" s="127">
        <f t="shared" si="0"/>
        <v>2029</v>
      </c>
      <c r="K3" s="127">
        <f t="shared" si="0"/>
        <v>2030</v>
      </c>
      <c r="L3" s="127">
        <f t="shared" si="0"/>
        <v>2031</v>
      </c>
      <c r="M3" s="127">
        <f t="shared" si="0"/>
        <v>2032</v>
      </c>
      <c r="N3" s="127">
        <f t="shared" si="0"/>
        <v>2033</v>
      </c>
      <c r="O3" s="127">
        <f t="shared" si="0"/>
        <v>2034</v>
      </c>
      <c r="P3" s="671"/>
      <c r="Q3" s="157"/>
      <c r="R3" s="160">
        <f>O3+1</f>
        <v>2035</v>
      </c>
      <c r="S3" s="160">
        <f>R3+1</f>
        <v>2036</v>
      </c>
      <c r="T3" s="160">
        <f>S3+1</f>
        <v>2037</v>
      </c>
      <c r="U3" s="160">
        <f t="shared" ref="U3:AA3" si="1">T3+1</f>
        <v>2038</v>
      </c>
      <c r="V3" s="160">
        <f t="shared" si="1"/>
        <v>2039</v>
      </c>
      <c r="W3" s="160">
        <f t="shared" si="1"/>
        <v>2040</v>
      </c>
      <c r="X3" s="160">
        <f t="shared" si="1"/>
        <v>2041</v>
      </c>
      <c r="Y3" s="160">
        <f t="shared" si="1"/>
        <v>2042</v>
      </c>
      <c r="Z3" s="160">
        <f t="shared" si="1"/>
        <v>2043</v>
      </c>
      <c r="AA3" s="160">
        <f t="shared" si="1"/>
        <v>2044</v>
      </c>
    </row>
    <row r="4" spans="1:27" ht="8.1" customHeight="1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6"/>
      <c r="R4" s="108"/>
      <c r="S4" s="108"/>
      <c r="T4" s="108"/>
      <c r="U4" s="108"/>
      <c r="V4" s="108"/>
      <c r="W4" s="108"/>
      <c r="X4" s="108"/>
      <c r="Y4" s="108"/>
      <c r="Z4" s="108"/>
      <c r="AA4" s="108"/>
    </row>
    <row r="5" spans="1:27">
      <c r="A5" s="519" t="s">
        <v>191</v>
      </c>
      <c r="B5" s="510"/>
      <c r="C5" s="510"/>
      <c r="D5" s="510"/>
      <c r="E5" s="71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681"/>
      <c r="Q5" s="156"/>
      <c r="R5" s="108"/>
      <c r="S5" s="108"/>
      <c r="T5" s="108"/>
      <c r="U5" s="108"/>
      <c r="V5" s="108"/>
      <c r="W5" s="71"/>
      <c r="X5" s="71"/>
      <c r="Y5" s="71"/>
      <c r="Z5" s="71"/>
      <c r="AA5" s="71"/>
    </row>
    <row r="6" spans="1:27">
      <c r="A6" s="514"/>
      <c r="B6" s="514"/>
      <c r="C6" s="529"/>
      <c r="D6" s="529"/>
      <c r="E6" s="71"/>
      <c r="F6" s="511"/>
      <c r="G6" s="511"/>
      <c r="H6" s="511"/>
      <c r="I6" s="511"/>
      <c r="J6" s="511"/>
      <c r="K6" s="511"/>
      <c r="L6" s="511"/>
      <c r="M6" s="511"/>
      <c r="N6" s="511"/>
      <c r="O6" s="511"/>
      <c r="P6" s="681"/>
      <c r="Q6" s="156"/>
      <c r="R6" s="108"/>
      <c r="S6" s="108"/>
      <c r="T6" s="108"/>
      <c r="U6" s="108"/>
      <c r="V6" s="108"/>
      <c r="W6" s="71"/>
      <c r="X6" s="71"/>
      <c r="Y6" s="71"/>
      <c r="Z6" s="71"/>
      <c r="AA6" s="71"/>
    </row>
    <row r="7" spans="1:27">
      <c r="A7" s="221"/>
      <c r="B7" s="173" t="s">
        <v>189</v>
      </c>
      <c r="C7" s="238" t="s">
        <v>19</v>
      </c>
      <c r="D7" s="658">
        <f>SUM(F7:O7)</f>
        <v>0</v>
      </c>
      <c r="E7" s="71"/>
      <c r="F7" s="513">
        <f t="shared" ref="F7:O7" si="2">SUMIF($B$22:$B$169,$B$7,F$22:F$169)</f>
        <v>0</v>
      </c>
      <c r="G7" s="513">
        <f t="shared" si="2"/>
        <v>0</v>
      </c>
      <c r="H7" s="513">
        <f t="shared" si="2"/>
        <v>0</v>
      </c>
      <c r="I7" s="513">
        <f t="shared" si="2"/>
        <v>0</v>
      </c>
      <c r="J7" s="513">
        <f t="shared" si="2"/>
        <v>0</v>
      </c>
      <c r="K7" s="513">
        <f t="shared" si="2"/>
        <v>0</v>
      </c>
      <c r="L7" s="513">
        <f t="shared" si="2"/>
        <v>0</v>
      </c>
      <c r="M7" s="513">
        <f t="shared" si="2"/>
        <v>0</v>
      </c>
      <c r="N7" s="513">
        <f t="shared" si="2"/>
        <v>0</v>
      </c>
      <c r="O7" s="513">
        <f t="shared" si="2"/>
        <v>0</v>
      </c>
      <c r="P7" s="348"/>
      <c r="Q7" s="156"/>
      <c r="R7" s="108"/>
      <c r="S7" s="108"/>
      <c r="T7" s="108"/>
      <c r="U7" s="108"/>
      <c r="V7" s="108"/>
      <c r="W7" s="71"/>
      <c r="X7" s="71"/>
      <c r="Y7" s="71"/>
      <c r="Z7" s="71"/>
      <c r="AA7" s="71"/>
    </row>
    <row r="8" spans="1:27">
      <c r="A8" s="221"/>
      <c r="B8" s="173" t="s">
        <v>132</v>
      </c>
      <c r="C8" s="238" t="s">
        <v>19</v>
      </c>
      <c r="D8" s="658">
        <f>SUM(F8:O8)</f>
        <v>0</v>
      </c>
      <c r="E8" s="71"/>
      <c r="F8" s="513">
        <f t="shared" ref="F8:O8" si="3">SUMIF($B$22:$B$169,$B$8,F$22:F$169)</f>
        <v>0</v>
      </c>
      <c r="G8" s="513">
        <f t="shared" si="3"/>
        <v>0</v>
      </c>
      <c r="H8" s="513">
        <f t="shared" si="3"/>
        <v>0</v>
      </c>
      <c r="I8" s="513">
        <f t="shared" si="3"/>
        <v>0</v>
      </c>
      <c r="J8" s="513">
        <f t="shared" si="3"/>
        <v>0</v>
      </c>
      <c r="K8" s="513">
        <f t="shared" si="3"/>
        <v>0</v>
      </c>
      <c r="L8" s="513">
        <f t="shared" si="3"/>
        <v>0</v>
      </c>
      <c r="M8" s="513">
        <f t="shared" si="3"/>
        <v>0</v>
      </c>
      <c r="N8" s="513">
        <f t="shared" si="3"/>
        <v>0</v>
      </c>
      <c r="O8" s="513">
        <f t="shared" si="3"/>
        <v>0</v>
      </c>
      <c r="P8" s="348"/>
      <c r="Q8" s="156"/>
      <c r="R8" s="108"/>
      <c r="S8" s="108"/>
      <c r="T8" s="108"/>
      <c r="U8" s="108"/>
      <c r="V8" s="108"/>
      <c r="W8" s="71"/>
      <c r="X8" s="71"/>
      <c r="Y8" s="71"/>
      <c r="Z8" s="71"/>
      <c r="AA8" s="71"/>
    </row>
    <row r="9" spans="1:27" ht="30">
      <c r="A9" s="221"/>
      <c r="B9" s="173" t="s">
        <v>468</v>
      </c>
      <c r="C9" s="238"/>
      <c r="D9" s="658">
        <f>SUM(F9:O9)</f>
        <v>0</v>
      </c>
      <c r="E9" s="71"/>
      <c r="F9" s="513">
        <f t="shared" ref="F9:O9" si="4">SUMIF($B$22:$B$169,$B$9,F$22:F$169)</f>
        <v>0</v>
      </c>
      <c r="G9" s="513">
        <f t="shared" si="4"/>
        <v>0</v>
      </c>
      <c r="H9" s="513">
        <f t="shared" si="4"/>
        <v>0</v>
      </c>
      <c r="I9" s="513">
        <f t="shared" si="4"/>
        <v>0</v>
      </c>
      <c r="J9" s="513">
        <f t="shared" si="4"/>
        <v>0</v>
      </c>
      <c r="K9" s="513">
        <f t="shared" si="4"/>
        <v>0</v>
      </c>
      <c r="L9" s="513">
        <f t="shared" si="4"/>
        <v>0</v>
      </c>
      <c r="M9" s="513">
        <f t="shared" si="4"/>
        <v>0</v>
      </c>
      <c r="N9" s="513">
        <f t="shared" si="4"/>
        <v>0</v>
      </c>
      <c r="O9" s="513">
        <f t="shared" si="4"/>
        <v>0</v>
      </c>
      <c r="P9" s="348"/>
      <c r="Q9" s="156"/>
      <c r="R9" s="108"/>
      <c r="S9" s="108"/>
      <c r="T9" s="108"/>
      <c r="U9" s="108"/>
      <c r="V9" s="108"/>
      <c r="W9" s="71"/>
      <c r="X9" s="71"/>
      <c r="Y9" s="71"/>
      <c r="Z9" s="71"/>
      <c r="AA9" s="71"/>
    </row>
    <row r="10" spans="1:27">
      <c r="A10" s="221"/>
      <c r="B10" s="173" t="s">
        <v>101</v>
      </c>
      <c r="C10" s="238" t="s">
        <v>19</v>
      </c>
      <c r="D10" s="658">
        <f>SUM(F10:O10)</f>
        <v>0</v>
      </c>
      <c r="E10" s="71"/>
      <c r="F10" s="513">
        <f t="shared" ref="F10:O10" si="5">SUMIF($B$22:$B$169,$B$10,F$22:F$169)</f>
        <v>0</v>
      </c>
      <c r="G10" s="513">
        <f t="shared" si="5"/>
        <v>0</v>
      </c>
      <c r="H10" s="513">
        <f t="shared" si="5"/>
        <v>0</v>
      </c>
      <c r="I10" s="513">
        <f t="shared" si="5"/>
        <v>0</v>
      </c>
      <c r="J10" s="513">
        <f t="shared" si="5"/>
        <v>0</v>
      </c>
      <c r="K10" s="513">
        <f t="shared" si="5"/>
        <v>0</v>
      </c>
      <c r="L10" s="513">
        <f t="shared" si="5"/>
        <v>0</v>
      </c>
      <c r="M10" s="513">
        <f t="shared" si="5"/>
        <v>0</v>
      </c>
      <c r="N10" s="513">
        <f t="shared" si="5"/>
        <v>0</v>
      </c>
      <c r="O10" s="513">
        <f t="shared" si="5"/>
        <v>0</v>
      </c>
      <c r="P10" s="348"/>
      <c r="Q10" s="156"/>
      <c r="R10" s="108"/>
      <c r="S10" s="108"/>
      <c r="T10" s="108"/>
      <c r="U10" s="108"/>
      <c r="V10" s="108"/>
      <c r="W10" s="71"/>
      <c r="X10" s="71"/>
      <c r="Y10" s="71"/>
      <c r="Z10" s="71"/>
      <c r="AA10" s="71"/>
    </row>
    <row r="11" spans="1:27">
      <c r="A11" s="663"/>
      <c r="B11" s="526" t="s">
        <v>190</v>
      </c>
      <c r="C11" s="660" t="s">
        <v>19</v>
      </c>
      <c r="D11" s="585" t="s">
        <v>134</v>
      </c>
      <c r="E11" s="71"/>
      <c r="F11" s="512">
        <f t="shared" ref="F11:O11" si="6">SUMIF($B$22:$B$169,$B$11,F$22:F$169)</f>
        <v>0</v>
      </c>
      <c r="G11" s="512">
        <f t="shared" si="6"/>
        <v>0</v>
      </c>
      <c r="H11" s="512">
        <f t="shared" si="6"/>
        <v>0</v>
      </c>
      <c r="I11" s="512">
        <f t="shared" si="6"/>
        <v>0</v>
      </c>
      <c r="J11" s="512">
        <f t="shared" si="6"/>
        <v>0</v>
      </c>
      <c r="K11" s="512">
        <f t="shared" si="6"/>
        <v>0</v>
      </c>
      <c r="L11" s="512">
        <f t="shared" si="6"/>
        <v>0</v>
      </c>
      <c r="M11" s="512">
        <f t="shared" si="6"/>
        <v>0</v>
      </c>
      <c r="N11" s="512">
        <f t="shared" si="6"/>
        <v>0</v>
      </c>
      <c r="O11" s="512">
        <f t="shared" si="6"/>
        <v>0</v>
      </c>
      <c r="P11" s="348"/>
      <c r="Q11" s="156"/>
      <c r="R11" s="108"/>
      <c r="S11" s="108"/>
      <c r="T11" s="108"/>
      <c r="U11" s="108"/>
      <c r="V11" s="108"/>
      <c r="W11" s="71"/>
      <c r="X11" s="71"/>
      <c r="Y11" s="71"/>
      <c r="Z11" s="71"/>
      <c r="AA11" s="71"/>
    </row>
    <row r="12" spans="1:27">
      <c r="A12" s="662"/>
      <c r="B12" s="175"/>
      <c r="C12" s="416"/>
      <c r="D12" s="661"/>
      <c r="E12" s="71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71"/>
      <c r="Q12" s="156"/>
      <c r="R12" s="108"/>
      <c r="S12" s="108"/>
      <c r="T12" s="108"/>
      <c r="U12" s="108"/>
      <c r="V12" s="108"/>
      <c r="W12" s="71"/>
      <c r="X12" s="71"/>
      <c r="Y12" s="71"/>
      <c r="Z12" s="71"/>
      <c r="AA12" s="71"/>
    </row>
    <row r="13" spans="1:27">
      <c r="A13" s="221"/>
      <c r="B13" s="524" t="s">
        <v>435</v>
      </c>
      <c r="C13" s="416"/>
      <c r="D13" s="531"/>
      <c r="E13" s="71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71"/>
      <c r="Q13" s="156"/>
      <c r="R13" s="108"/>
      <c r="S13" s="108"/>
      <c r="T13" s="108"/>
      <c r="U13" s="108"/>
      <c r="V13" s="108"/>
      <c r="W13" s="71"/>
      <c r="X13" s="71"/>
      <c r="Y13" s="71"/>
      <c r="Z13" s="71"/>
      <c r="AA13" s="71"/>
    </row>
    <row r="14" spans="1:27" ht="45">
      <c r="A14" s="221"/>
      <c r="B14" s="173" t="s">
        <v>469</v>
      </c>
      <c r="C14" s="238" t="s">
        <v>19</v>
      </c>
      <c r="D14" s="658">
        <f>SUM(F14:O14)</f>
        <v>0</v>
      </c>
      <c r="E14" s="71"/>
      <c r="F14" s="513">
        <f>F9</f>
        <v>0</v>
      </c>
      <c r="G14" s="513">
        <f t="shared" ref="G14:N14" si="7">G9</f>
        <v>0</v>
      </c>
      <c r="H14" s="513">
        <f t="shared" si="7"/>
        <v>0</v>
      </c>
      <c r="I14" s="513">
        <f t="shared" si="7"/>
        <v>0</v>
      </c>
      <c r="J14" s="513">
        <f t="shared" si="7"/>
        <v>0</v>
      </c>
      <c r="K14" s="513">
        <f t="shared" si="7"/>
        <v>0</v>
      </c>
      <c r="L14" s="513">
        <f t="shared" si="7"/>
        <v>0</v>
      </c>
      <c r="M14" s="513">
        <f t="shared" si="7"/>
        <v>0</v>
      </c>
      <c r="N14" s="513">
        <f t="shared" si="7"/>
        <v>0</v>
      </c>
      <c r="O14" s="513"/>
      <c r="P14" s="348"/>
      <c r="Q14" s="156"/>
      <c r="R14" s="108"/>
      <c r="S14" s="108"/>
      <c r="T14" s="108"/>
      <c r="U14" s="108"/>
      <c r="V14" s="108"/>
      <c r="W14" s="71"/>
      <c r="X14" s="71"/>
      <c r="Y14" s="71"/>
      <c r="Z14" s="71"/>
      <c r="AA14" s="71"/>
    </row>
    <row r="15" spans="1:27">
      <c r="A15" s="221"/>
      <c r="B15" s="173"/>
      <c r="C15" s="238"/>
      <c r="D15" s="658"/>
      <c r="E15" s="71"/>
      <c r="F15" s="513"/>
      <c r="G15" s="513"/>
      <c r="H15" s="513"/>
      <c r="I15" s="513"/>
      <c r="J15" s="513"/>
      <c r="K15" s="513"/>
      <c r="L15" s="513"/>
      <c r="M15" s="513"/>
      <c r="N15" s="513"/>
      <c r="O15" s="513"/>
      <c r="P15" s="348"/>
      <c r="Q15" s="156"/>
      <c r="R15" s="108"/>
      <c r="S15" s="108"/>
      <c r="T15" s="108"/>
      <c r="U15" s="108"/>
      <c r="V15" s="108"/>
      <c r="W15" s="71"/>
      <c r="X15" s="71"/>
      <c r="Y15" s="71"/>
      <c r="Z15" s="71"/>
      <c r="AA15" s="71"/>
    </row>
    <row r="16" spans="1:27">
      <c r="A16" s="221"/>
      <c r="B16" s="173" t="s">
        <v>336</v>
      </c>
      <c r="C16" s="238" t="s">
        <v>19</v>
      </c>
      <c r="D16" s="658">
        <f>SUM(F16:O16)</f>
        <v>0</v>
      </c>
      <c r="E16" s="71"/>
      <c r="F16" s="513">
        <f>SUMIF($B$22:$B$169,$B$16,F$22:F$169)</f>
        <v>0</v>
      </c>
      <c r="G16" s="513">
        <f t="shared" ref="G16:O16" si="8">SUMIF($B$22:$B$169,$B$16,G$22:G$169)</f>
        <v>0</v>
      </c>
      <c r="H16" s="513">
        <f t="shared" si="8"/>
        <v>0</v>
      </c>
      <c r="I16" s="513">
        <f t="shared" si="8"/>
        <v>0</v>
      </c>
      <c r="J16" s="513">
        <f t="shared" si="8"/>
        <v>0</v>
      </c>
      <c r="K16" s="513">
        <f t="shared" si="8"/>
        <v>0</v>
      </c>
      <c r="L16" s="513">
        <f t="shared" si="8"/>
        <v>0</v>
      </c>
      <c r="M16" s="513">
        <f t="shared" si="8"/>
        <v>0</v>
      </c>
      <c r="N16" s="513">
        <f t="shared" si="8"/>
        <v>0</v>
      </c>
      <c r="O16" s="513">
        <f t="shared" si="8"/>
        <v>0</v>
      </c>
      <c r="P16" s="348"/>
      <c r="Q16" s="156"/>
      <c r="R16" s="108"/>
      <c r="S16" s="108"/>
      <c r="T16" s="108"/>
      <c r="U16" s="108"/>
      <c r="V16" s="108"/>
      <c r="W16" s="71"/>
      <c r="X16" s="71"/>
      <c r="Y16" s="71"/>
      <c r="Z16" s="71"/>
      <c r="AA16" s="71"/>
    </row>
    <row r="17" spans="1:22">
      <c r="A17" s="221"/>
      <c r="B17" s="525"/>
      <c r="C17" s="238"/>
      <c r="D17" s="658"/>
      <c r="E17" s="71"/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348"/>
      <c r="Q17" s="156"/>
      <c r="R17" s="108"/>
      <c r="S17" s="108"/>
      <c r="T17" s="108"/>
      <c r="U17" s="108"/>
      <c r="V17" s="108"/>
    </row>
    <row r="18" spans="1:22" ht="30">
      <c r="A18" s="663"/>
      <c r="B18" s="526" t="s">
        <v>335</v>
      </c>
      <c r="C18" s="660" t="s">
        <v>19</v>
      </c>
      <c r="D18" s="585"/>
      <c r="E18" s="71"/>
      <c r="F18" s="512">
        <f>SUMIF($B$22:$B$169,$B$18,F$22:F$169)</f>
        <v>0</v>
      </c>
      <c r="G18" s="512">
        <f t="shared" ref="G18:O18" si="9">SUMIF($B$22:$B$169,$B$18,G$22:G$169)</f>
        <v>0</v>
      </c>
      <c r="H18" s="512">
        <f t="shared" si="9"/>
        <v>0</v>
      </c>
      <c r="I18" s="512">
        <f t="shared" si="9"/>
        <v>0</v>
      </c>
      <c r="J18" s="512">
        <f t="shared" si="9"/>
        <v>0</v>
      </c>
      <c r="K18" s="512">
        <f t="shared" si="9"/>
        <v>0</v>
      </c>
      <c r="L18" s="512">
        <f t="shared" si="9"/>
        <v>0</v>
      </c>
      <c r="M18" s="512">
        <f t="shared" si="9"/>
        <v>0</v>
      </c>
      <c r="N18" s="512">
        <f t="shared" si="9"/>
        <v>0</v>
      </c>
      <c r="O18" s="512">
        <f t="shared" si="9"/>
        <v>0</v>
      </c>
      <c r="P18" s="348"/>
      <c r="Q18" s="156"/>
      <c r="R18" s="108"/>
      <c r="S18" s="108"/>
      <c r="T18" s="108"/>
      <c r="U18" s="108"/>
      <c r="V18" s="108"/>
    </row>
    <row r="19" spans="1:22">
      <c r="A19" s="89"/>
      <c r="B19" s="173"/>
      <c r="C19" s="89"/>
      <c r="D19" s="89"/>
      <c r="E19" s="71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71"/>
      <c r="Q19" s="156"/>
      <c r="R19" s="108"/>
      <c r="S19" s="108"/>
      <c r="T19" s="108"/>
      <c r="U19" s="108"/>
      <c r="V19" s="108"/>
    </row>
    <row r="20" spans="1:22">
      <c r="A20" s="146"/>
      <c r="B20" s="375" t="s">
        <v>201</v>
      </c>
      <c r="C20" s="146"/>
      <c r="D20" s="146"/>
      <c r="E20" s="71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71"/>
      <c r="Q20" s="156"/>
      <c r="R20" s="108"/>
      <c r="S20" s="108"/>
      <c r="T20" s="108"/>
      <c r="U20" s="108"/>
      <c r="V20" s="108"/>
    </row>
    <row r="21" spans="1:22" outlineLevel="1">
      <c r="A21" s="520"/>
      <c r="B21" s="527" t="s">
        <v>860</v>
      </c>
      <c r="C21" s="520"/>
      <c r="D21" s="520"/>
      <c r="E21" s="71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681"/>
      <c r="Q21" s="156"/>
      <c r="R21" s="108"/>
      <c r="S21" s="108"/>
      <c r="T21" s="108"/>
      <c r="U21" s="108"/>
      <c r="V21" s="108"/>
    </row>
    <row r="22" spans="1:22" outlineLevel="1">
      <c r="A22" s="221" t="str">
        <f t="array" aca="1" ref="A22" ca="1">HYPERLINK(CELL("адрес",Исходные!A22),"источник")</f>
        <v>источник</v>
      </c>
      <c r="B22" s="173" t="s">
        <v>189</v>
      </c>
      <c r="C22" s="238" t="s">
        <v>19</v>
      </c>
      <c r="D22" s="240">
        <f>SUM(F22:O22)</f>
        <v>0</v>
      </c>
      <c r="E22" s="71"/>
      <c r="F22" s="225">
        <f>Исходные!F22</f>
        <v>0</v>
      </c>
      <c r="G22" s="225">
        <f>Исходные!G22</f>
        <v>0</v>
      </c>
      <c r="H22" s="225">
        <f>Исходные!H22</f>
        <v>0</v>
      </c>
      <c r="I22" s="225">
        <f>Исходные!I22</f>
        <v>0</v>
      </c>
      <c r="J22" s="225">
        <f>Исходные!J22</f>
        <v>0</v>
      </c>
      <c r="K22" s="225">
        <f>Исходные!K22</f>
        <v>0</v>
      </c>
      <c r="L22" s="225">
        <f>Исходные!L22</f>
        <v>0</v>
      </c>
      <c r="M22" s="225">
        <f>Исходные!M22</f>
        <v>0</v>
      </c>
      <c r="N22" s="225">
        <f>Исходные!N22</f>
        <v>0</v>
      </c>
      <c r="O22" s="225">
        <f>Исходные!O22</f>
        <v>0</v>
      </c>
      <c r="P22" s="349"/>
      <c r="Q22" s="156"/>
      <c r="R22" s="108"/>
      <c r="S22" s="108"/>
      <c r="T22" s="108"/>
      <c r="U22" s="108"/>
      <c r="V22" s="108"/>
    </row>
    <row r="23" spans="1:22" outlineLevel="1">
      <c r="A23" s="146"/>
      <c r="B23" s="173" t="s">
        <v>132</v>
      </c>
      <c r="C23" s="238" t="s">
        <v>19</v>
      </c>
      <c r="D23" s="240">
        <f>SUM(F23:O23)</f>
        <v>0</v>
      </c>
      <c r="E23" s="71"/>
      <c r="F23" s="226">
        <f>F22/(1+Макро!F31)*Макро!F31</f>
        <v>0</v>
      </c>
      <c r="G23" s="226">
        <f>G22/(1+Макро!G31)*Макро!G31</f>
        <v>0</v>
      </c>
      <c r="H23" s="226">
        <f>H22/(1+Макро!H31)*Макро!H31</f>
        <v>0</v>
      </c>
      <c r="I23" s="226">
        <f>I22/(1+Макро!I31)*Макро!I31</f>
        <v>0</v>
      </c>
      <c r="J23" s="226">
        <f>J22/(1+Макро!J31)*Макро!J31</f>
        <v>0</v>
      </c>
      <c r="K23" s="226">
        <f>K22/(1+Макро!K31)*Макро!K31</f>
        <v>0</v>
      </c>
      <c r="L23" s="226">
        <f>L22/(1+Макро!L31)*Макро!L31</f>
        <v>0</v>
      </c>
      <c r="M23" s="226">
        <f>M22/(1+Макро!M31)*Макро!M31</f>
        <v>0</v>
      </c>
      <c r="N23" s="226">
        <f>N22/(1+Макро!N31)*Макро!N31</f>
        <v>0</v>
      </c>
      <c r="O23" s="226">
        <f>O22/(1+Макро!O31)*Макро!O31</f>
        <v>0</v>
      </c>
      <c r="P23" s="353"/>
      <c r="Q23" s="156"/>
      <c r="R23" s="108"/>
      <c r="S23" s="108"/>
      <c r="T23" s="108"/>
      <c r="U23" s="108"/>
      <c r="V23" s="108"/>
    </row>
    <row r="24" spans="1:22" ht="30" outlineLevel="1">
      <c r="A24" s="146"/>
      <c r="B24" s="173" t="s">
        <v>468</v>
      </c>
      <c r="C24" s="238" t="s">
        <v>19</v>
      </c>
      <c r="D24" s="240">
        <f>SUM(F24:O24)</f>
        <v>0</v>
      </c>
      <c r="E24" s="71"/>
      <c r="F24" s="226">
        <f t="shared" ref="F24:O24" si="10">F22-F23</f>
        <v>0</v>
      </c>
      <c r="G24" s="226">
        <f t="shared" si="10"/>
        <v>0</v>
      </c>
      <c r="H24" s="226">
        <f t="shared" si="10"/>
        <v>0</v>
      </c>
      <c r="I24" s="226">
        <f t="shared" si="10"/>
        <v>0</v>
      </c>
      <c r="J24" s="226">
        <f t="shared" si="10"/>
        <v>0</v>
      </c>
      <c r="K24" s="226">
        <f t="shared" si="10"/>
        <v>0</v>
      </c>
      <c r="L24" s="226">
        <f t="shared" si="10"/>
        <v>0</v>
      </c>
      <c r="M24" s="226">
        <f t="shared" si="10"/>
        <v>0</v>
      </c>
      <c r="N24" s="226">
        <f t="shared" si="10"/>
        <v>0</v>
      </c>
      <c r="O24" s="226">
        <f t="shared" si="10"/>
        <v>0</v>
      </c>
      <c r="P24" s="353"/>
      <c r="Q24" s="156"/>
      <c r="R24" s="108"/>
      <c r="S24" s="108"/>
      <c r="T24" s="108"/>
      <c r="U24" s="108"/>
      <c r="V24" s="108"/>
    </row>
    <row r="25" spans="1:22" ht="30" outlineLevel="1">
      <c r="A25" s="146"/>
      <c r="B25" s="173" t="s">
        <v>130</v>
      </c>
      <c r="C25" s="238" t="s">
        <v>131</v>
      </c>
      <c r="D25" s="753"/>
      <c r="E25" s="71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71"/>
      <c r="Q25" s="156"/>
      <c r="R25" s="108"/>
      <c r="S25" s="108"/>
      <c r="T25" s="108"/>
      <c r="U25" s="108"/>
      <c r="V25" s="108"/>
    </row>
    <row r="26" spans="1:22" outlineLevel="1">
      <c r="A26" s="146"/>
      <c r="B26" s="173" t="s">
        <v>101</v>
      </c>
      <c r="C26" s="238" t="s">
        <v>19</v>
      </c>
      <c r="D26" s="240">
        <f>SUM(F26:O26)</f>
        <v>0</v>
      </c>
      <c r="E26" s="71"/>
      <c r="F26" s="146"/>
      <c r="G26" s="226"/>
      <c r="H26" s="226">
        <f t="shared" ref="H26:O26" si="11">IF(H27&gt;=0,$D$24/$D$25,0)</f>
        <v>0</v>
      </c>
      <c r="I26" s="226">
        <f t="shared" si="11"/>
        <v>0</v>
      </c>
      <c r="J26" s="226">
        <f t="shared" si="11"/>
        <v>0</v>
      </c>
      <c r="K26" s="226">
        <f t="shared" si="11"/>
        <v>0</v>
      </c>
      <c r="L26" s="226">
        <f t="shared" si="11"/>
        <v>0</v>
      </c>
      <c r="M26" s="226">
        <f t="shared" si="11"/>
        <v>0</v>
      </c>
      <c r="N26" s="226">
        <f t="shared" si="11"/>
        <v>0</v>
      </c>
      <c r="O26" s="226">
        <f t="shared" si="11"/>
        <v>0</v>
      </c>
      <c r="P26" s="353"/>
      <c r="Q26" s="156"/>
      <c r="R26" s="108"/>
      <c r="S26" s="108"/>
      <c r="T26" s="108"/>
      <c r="U26" s="108"/>
      <c r="V26" s="108"/>
    </row>
    <row r="27" spans="1:22" outlineLevel="1">
      <c r="A27" s="146"/>
      <c r="B27" s="525" t="s">
        <v>136</v>
      </c>
      <c r="C27" s="238"/>
      <c r="D27" s="525"/>
      <c r="E27" s="71"/>
      <c r="F27" s="146"/>
      <c r="G27" s="416">
        <f>D25</f>
        <v>0</v>
      </c>
      <c r="H27" s="416">
        <f t="shared" ref="H27:O27" si="12">G27-1</f>
        <v>-1</v>
      </c>
      <c r="I27" s="416">
        <f t="shared" si="12"/>
        <v>-2</v>
      </c>
      <c r="J27" s="416">
        <f t="shared" si="12"/>
        <v>-3</v>
      </c>
      <c r="K27" s="416">
        <f t="shared" si="12"/>
        <v>-4</v>
      </c>
      <c r="L27" s="416">
        <f t="shared" si="12"/>
        <v>-5</v>
      </c>
      <c r="M27" s="416">
        <f t="shared" si="12"/>
        <v>-6</v>
      </c>
      <c r="N27" s="416">
        <f t="shared" si="12"/>
        <v>-7</v>
      </c>
      <c r="O27" s="416">
        <f t="shared" si="12"/>
        <v>-8</v>
      </c>
      <c r="P27" s="416"/>
      <c r="Q27" s="156"/>
      <c r="R27" s="108"/>
      <c r="S27" s="108"/>
      <c r="T27" s="108"/>
      <c r="U27" s="108"/>
      <c r="V27" s="108"/>
    </row>
    <row r="28" spans="1:22" outlineLevel="1">
      <c r="A28" s="521"/>
      <c r="B28" s="526" t="s">
        <v>190</v>
      </c>
      <c r="C28" s="660" t="s">
        <v>19</v>
      </c>
      <c r="D28" s="521"/>
      <c r="E28" s="71"/>
      <c r="F28" s="516">
        <f>F24</f>
        <v>0</v>
      </c>
      <c r="G28" s="516">
        <f>F28+G24</f>
        <v>0</v>
      </c>
      <c r="H28" s="516">
        <f t="shared" ref="H28:O28" si="13">G28-H26</f>
        <v>0</v>
      </c>
      <c r="I28" s="516">
        <f t="shared" si="13"/>
        <v>0</v>
      </c>
      <c r="J28" s="516">
        <f t="shared" si="13"/>
        <v>0</v>
      </c>
      <c r="K28" s="516">
        <f t="shared" si="13"/>
        <v>0</v>
      </c>
      <c r="L28" s="516">
        <f t="shared" si="13"/>
        <v>0</v>
      </c>
      <c r="M28" s="516">
        <f t="shared" si="13"/>
        <v>0</v>
      </c>
      <c r="N28" s="516">
        <f t="shared" si="13"/>
        <v>0</v>
      </c>
      <c r="O28" s="516">
        <f t="shared" si="13"/>
        <v>0</v>
      </c>
      <c r="P28" s="353"/>
      <c r="Q28" s="156"/>
      <c r="R28" s="108"/>
      <c r="S28" s="108"/>
      <c r="T28" s="108"/>
      <c r="U28" s="108"/>
      <c r="V28" s="108"/>
    </row>
    <row r="29" spans="1:22" outlineLevel="1">
      <c r="A29" s="522"/>
      <c r="B29" s="528"/>
      <c r="C29" s="416"/>
      <c r="D29" s="522"/>
      <c r="E29" s="71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353"/>
      <c r="Q29" s="156"/>
      <c r="R29" s="108"/>
      <c r="S29" s="108"/>
      <c r="T29" s="108"/>
      <c r="U29" s="108"/>
      <c r="V29" s="108"/>
    </row>
    <row r="30" spans="1:22" outlineLevel="1">
      <c r="A30" s="146"/>
      <c r="B30" s="524" t="s">
        <v>435</v>
      </c>
      <c r="C30" s="238"/>
      <c r="D30" s="522"/>
      <c r="E30" s="71"/>
      <c r="F30" s="517"/>
      <c r="G30" s="517"/>
      <c r="H30" s="517"/>
      <c r="I30" s="517"/>
      <c r="J30" s="517"/>
      <c r="K30" s="517"/>
      <c r="L30" s="517"/>
      <c r="M30" s="517"/>
      <c r="N30" s="517"/>
      <c r="O30" s="517"/>
      <c r="P30" s="353"/>
      <c r="Q30" s="156"/>
      <c r="R30" s="108"/>
      <c r="S30" s="108"/>
      <c r="T30" s="108"/>
      <c r="U30" s="108"/>
      <c r="V30" s="108"/>
    </row>
    <row r="31" spans="1:22" outlineLevel="1">
      <c r="A31" s="221" t="str">
        <f t="array" aca="1" ref="A31" ca="1">HYPERLINK(CELL("адрес",Макро!A70),"источник")</f>
        <v>источник</v>
      </c>
      <c r="B31" s="528" t="s">
        <v>434</v>
      </c>
      <c r="C31" s="238" t="s">
        <v>120</v>
      </c>
      <c r="D31" s="522"/>
      <c r="E31" s="71"/>
      <c r="F31" s="518">
        <f>Макро!F70</f>
        <v>2</v>
      </c>
      <c r="G31" s="518">
        <f>Макро!G70</f>
        <v>2</v>
      </c>
      <c r="H31" s="518">
        <f>Макро!H70</f>
        <v>2</v>
      </c>
      <c r="I31" s="518">
        <f>Макро!I70</f>
        <v>2</v>
      </c>
      <c r="J31" s="518">
        <f>Макро!J70</f>
        <v>2</v>
      </c>
      <c r="K31" s="518">
        <f>Макро!K70</f>
        <v>2</v>
      </c>
      <c r="L31" s="518">
        <f>Макро!L70</f>
        <v>2</v>
      </c>
      <c r="M31" s="518">
        <f>Макро!M70</f>
        <v>2</v>
      </c>
      <c r="N31" s="518">
        <f>Макро!N70</f>
        <v>2</v>
      </c>
      <c r="O31" s="518">
        <f>Макро!O70</f>
        <v>2</v>
      </c>
      <c r="P31" s="682"/>
      <c r="Q31" s="156"/>
      <c r="R31" s="108"/>
      <c r="S31" s="108"/>
      <c r="T31" s="108"/>
      <c r="U31" s="108"/>
      <c r="V31" s="108"/>
    </row>
    <row r="32" spans="1:22" ht="45" outlineLevel="1">
      <c r="A32" s="146"/>
      <c r="B32" s="173" t="s">
        <v>469</v>
      </c>
      <c r="C32" s="238" t="s">
        <v>19</v>
      </c>
      <c r="D32" s="240">
        <f>SUM(F32:O32)</f>
        <v>0</v>
      </c>
      <c r="E32" s="71"/>
      <c r="F32" s="226">
        <f>F24</f>
        <v>0</v>
      </c>
      <c r="G32" s="226">
        <f t="shared" ref="G32:O32" si="14">G24</f>
        <v>0</v>
      </c>
      <c r="H32" s="226">
        <f t="shared" si="14"/>
        <v>0</v>
      </c>
      <c r="I32" s="226">
        <f t="shared" si="14"/>
        <v>0</v>
      </c>
      <c r="J32" s="226">
        <f t="shared" si="14"/>
        <v>0</v>
      </c>
      <c r="K32" s="226">
        <f t="shared" si="14"/>
        <v>0</v>
      </c>
      <c r="L32" s="226">
        <f t="shared" si="14"/>
        <v>0</v>
      </c>
      <c r="M32" s="226">
        <f t="shared" si="14"/>
        <v>0</v>
      </c>
      <c r="N32" s="226">
        <f t="shared" si="14"/>
        <v>0</v>
      </c>
      <c r="O32" s="226">
        <f t="shared" si="14"/>
        <v>0</v>
      </c>
      <c r="P32" s="353"/>
      <c r="Q32" s="156"/>
      <c r="R32" s="108"/>
      <c r="S32" s="108"/>
      <c r="T32" s="108"/>
      <c r="U32" s="108"/>
      <c r="V32" s="108"/>
    </row>
    <row r="33" spans="1:22" outlineLevel="1">
      <c r="A33" s="146"/>
      <c r="B33" s="173"/>
      <c r="C33" s="238"/>
      <c r="D33" s="522"/>
      <c r="E33" s="71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71"/>
      <c r="Q33" s="156"/>
      <c r="R33" s="108"/>
      <c r="S33" s="108"/>
      <c r="T33" s="108"/>
      <c r="U33" s="108"/>
      <c r="V33" s="108"/>
    </row>
    <row r="34" spans="1:22" outlineLevel="1">
      <c r="A34" s="146"/>
      <c r="B34" s="173" t="s">
        <v>336</v>
      </c>
      <c r="C34" s="238" t="s">
        <v>19</v>
      </c>
      <c r="D34" s="240">
        <f>SUM(F34:O34)</f>
        <v>0</v>
      </c>
      <c r="E34" s="71"/>
      <c r="F34" s="146"/>
      <c r="G34" s="226"/>
      <c r="H34" s="226">
        <f>H26*H31</f>
        <v>0</v>
      </c>
      <c r="I34" s="226">
        <f t="shared" ref="I34:O34" si="15">I26*I31</f>
        <v>0</v>
      </c>
      <c r="J34" s="226">
        <f t="shared" si="15"/>
        <v>0</v>
      </c>
      <c r="K34" s="226">
        <f t="shared" si="15"/>
        <v>0</v>
      </c>
      <c r="L34" s="226">
        <f t="shared" si="15"/>
        <v>0</v>
      </c>
      <c r="M34" s="226">
        <f t="shared" si="15"/>
        <v>0</v>
      </c>
      <c r="N34" s="226">
        <f t="shared" si="15"/>
        <v>0</v>
      </c>
      <c r="O34" s="226">
        <f t="shared" si="15"/>
        <v>0</v>
      </c>
      <c r="P34" s="353"/>
      <c r="Q34" s="156"/>
      <c r="R34" s="108"/>
      <c r="S34" s="108"/>
      <c r="T34" s="108"/>
      <c r="U34" s="108"/>
      <c r="V34" s="108"/>
    </row>
    <row r="35" spans="1:22" outlineLevel="1">
      <c r="A35" s="146"/>
      <c r="B35" s="525"/>
      <c r="C35" s="238"/>
      <c r="D35" s="525"/>
      <c r="E35" s="71"/>
      <c r="F35" s="14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156"/>
      <c r="R35" s="108"/>
      <c r="S35" s="108"/>
      <c r="T35" s="108"/>
      <c r="U35" s="108"/>
      <c r="V35" s="108"/>
    </row>
    <row r="36" spans="1:22" ht="30" outlineLevel="1">
      <c r="A36" s="521"/>
      <c r="B36" s="526" t="s">
        <v>335</v>
      </c>
      <c r="C36" s="660" t="s">
        <v>19</v>
      </c>
      <c r="D36" s="521"/>
      <c r="E36" s="71"/>
      <c r="F36" s="516">
        <f>F32</f>
        <v>0</v>
      </c>
      <c r="G36" s="516">
        <f>F36+G32</f>
        <v>0</v>
      </c>
      <c r="H36" s="516">
        <f t="shared" ref="H36:O36" si="16">G36-H34</f>
        <v>0</v>
      </c>
      <c r="I36" s="516">
        <f t="shared" si="16"/>
        <v>0</v>
      </c>
      <c r="J36" s="516">
        <f t="shared" si="16"/>
        <v>0</v>
      </c>
      <c r="K36" s="516">
        <f t="shared" si="16"/>
        <v>0</v>
      </c>
      <c r="L36" s="516">
        <f t="shared" si="16"/>
        <v>0</v>
      </c>
      <c r="M36" s="516">
        <f t="shared" si="16"/>
        <v>0</v>
      </c>
      <c r="N36" s="516">
        <f t="shared" si="16"/>
        <v>0</v>
      </c>
      <c r="O36" s="516">
        <f t="shared" si="16"/>
        <v>0</v>
      </c>
      <c r="P36" s="353"/>
      <c r="Q36" s="156"/>
      <c r="R36" s="108"/>
      <c r="S36" s="108"/>
      <c r="T36" s="108"/>
      <c r="U36" s="108"/>
      <c r="V36" s="108"/>
    </row>
    <row r="37" spans="1:22" outlineLevel="1">
      <c r="A37" s="89"/>
      <c r="B37" s="175"/>
      <c r="C37" s="416"/>
      <c r="D37" s="89"/>
      <c r="E37" s="71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71"/>
      <c r="Q37" s="156"/>
      <c r="R37" s="108"/>
      <c r="S37" s="108"/>
      <c r="T37" s="108"/>
      <c r="U37" s="108"/>
      <c r="V37" s="108"/>
    </row>
    <row r="38" spans="1:22" outlineLevel="1">
      <c r="A38" s="520"/>
      <c r="B38" s="520" t="s">
        <v>133</v>
      </c>
      <c r="C38" s="520"/>
      <c r="D38" s="520"/>
      <c r="E38" s="71"/>
      <c r="F38" s="520"/>
      <c r="G38" s="520"/>
      <c r="H38" s="520"/>
      <c r="I38" s="520"/>
      <c r="J38" s="520"/>
      <c r="K38" s="520"/>
      <c r="L38" s="520"/>
      <c r="M38" s="520"/>
      <c r="N38" s="520"/>
      <c r="O38" s="520"/>
      <c r="P38" s="681"/>
      <c r="Q38" s="156"/>
      <c r="R38" s="108"/>
      <c r="S38" s="108"/>
      <c r="T38" s="108"/>
      <c r="U38" s="108"/>
      <c r="V38" s="108"/>
    </row>
    <row r="39" spans="1:22" outlineLevel="1">
      <c r="A39" s="221" t="str">
        <f t="array" aca="1" ref="A39" ca="1">HYPERLINK(CELL("адрес",Исходные!A23),"источник")</f>
        <v>источник</v>
      </c>
      <c r="B39" s="173" t="s">
        <v>189</v>
      </c>
      <c r="C39" s="238" t="s">
        <v>19</v>
      </c>
      <c r="D39" s="242">
        <f>SUM(F39:O39)</f>
        <v>0</v>
      </c>
      <c r="E39" s="71"/>
      <c r="F39" s="225">
        <f>Исходные!F23</f>
        <v>0</v>
      </c>
      <c r="G39" s="225">
        <f>Исходные!G23</f>
        <v>0</v>
      </c>
      <c r="H39" s="225">
        <f>Исходные!H23</f>
        <v>0</v>
      </c>
      <c r="I39" s="225">
        <f>Исходные!I23</f>
        <v>0</v>
      </c>
      <c r="J39" s="225">
        <f>Исходные!J23</f>
        <v>0</v>
      </c>
      <c r="K39" s="225">
        <f>Исходные!K23</f>
        <v>0</v>
      </c>
      <c r="L39" s="225">
        <f>Исходные!L23</f>
        <v>0</v>
      </c>
      <c r="M39" s="225">
        <f>Исходные!M23</f>
        <v>0</v>
      </c>
      <c r="N39" s="225">
        <f>Исходные!N23</f>
        <v>0</v>
      </c>
      <c r="O39" s="225">
        <f>Исходные!O23</f>
        <v>0</v>
      </c>
      <c r="P39" s="349"/>
      <c r="Q39" s="156"/>
      <c r="R39" s="108"/>
      <c r="S39" s="108"/>
      <c r="T39" s="108"/>
      <c r="U39" s="108"/>
      <c r="V39" s="108"/>
    </row>
    <row r="40" spans="1:22" outlineLevel="1">
      <c r="A40" s="146"/>
      <c r="B40" s="173" t="s">
        <v>132</v>
      </c>
      <c r="C40" s="238" t="s">
        <v>19</v>
      </c>
      <c r="D40" s="242">
        <f>SUM(F40:O40)</f>
        <v>0</v>
      </c>
      <c r="E40" s="71"/>
      <c r="F40" s="226">
        <f>F39/(1+Макро!F31)*Макро!F31</f>
        <v>0</v>
      </c>
      <c r="G40" s="226">
        <f>G39/(1+Макро!G31)*Макро!G31</f>
        <v>0</v>
      </c>
      <c r="H40" s="226">
        <f>H39/(1+Макро!H31)*Макро!H31</f>
        <v>0</v>
      </c>
      <c r="I40" s="226">
        <f>I39/(1+Макро!I31)*Макро!I31</f>
        <v>0</v>
      </c>
      <c r="J40" s="226">
        <f>J39/(1+Макро!J31)*Макро!J31</f>
        <v>0</v>
      </c>
      <c r="K40" s="226">
        <f>K39/(1+Макро!K31)*Макро!K31</f>
        <v>0</v>
      </c>
      <c r="L40" s="226">
        <f>L39/(1+Макро!L31)*Макро!L31</f>
        <v>0</v>
      </c>
      <c r="M40" s="226">
        <f>M39/(1+Макро!M31)*Макро!M31</f>
        <v>0</v>
      </c>
      <c r="N40" s="226">
        <f>N39/(1+Макро!N31)*Макро!N31</f>
        <v>0</v>
      </c>
      <c r="O40" s="226">
        <f>O39/(1+Макро!O31)*Макро!O31</f>
        <v>0</v>
      </c>
      <c r="P40" s="353"/>
      <c r="Q40" s="156"/>
      <c r="R40" s="108"/>
      <c r="S40" s="108"/>
      <c r="T40" s="108"/>
      <c r="U40" s="108"/>
      <c r="V40" s="108"/>
    </row>
    <row r="41" spans="1:22" ht="30" outlineLevel="1">
      <c r="A41" s="146"/>
      <c r="B41" s="173" t="s">
        <v>468</v>
      </c>
      <c r="C41" s="238" t="s">
        <v>19</v>
      </c>
      <c r="D41" s="242">
        <f>SUM(F41:O41)</f>
        <v>0</v>
      </c>
      <c r="E41" s="71"/>
      <c r="F41" s="226">
        <f t="shared" ref="F41:O41" si="17">F39-F40</f>
        <v>0</v>
      </c>
      <c r="G41" s="226">
        <f t="shared" si="17"/>
        <v>0</v>
      </c>
      <c r="H41" s="226">
        <f t="shared" si="17"/>
        <v>0</v>
      </c>
      <c r="I41" s="226">
        <f t="shared" si="17"/>
        <v>0</v>
      </c>
      <c r="J41" s="226">
        <f t="shared" si="17"/>
        <v>0</v>
      </c>
      <c r="K41" s="226">
        <f t="shared" si="17"/>
        <v>0</v>
      </c>
      <c r="L41" s="226">
        <f t="shared" si="17"/>
        <v>0</v>
      </c>
      <c r="M41" s="226">
        <f t="shared" si="17"/>
        <v>0</v>
      </c>
      <c r="N41" s="226">
        <f t="shared" si="17"/>
        <v>0</v>
      </c>
      <c r="O41" s="226">
        <f t="shared" si="17"/>
        <v>0</v>
      </c>
      <c r="P41" s="353"/>
      <c r="Q41" s="156"/>
      <c r="R41" s="108"/>
      <c r="S41" s="108"/>
      <c r="T41" s="108"/>
      <c r="U41" s="108"/>
      <c r="V41" s="108"/>
    </row>
    <row r="42" spans="1:22" ht="30" outlineLevel="1">
      <c r="A42" s="146"/>
      <c r="B42" s="173" t="s">
        <v>130</v>
      </c>
      <c r="C42" s="238" t="s">
        <v>131</v>
      </c>
      <c r="D42" s="753">
        <v>9</v>
      </c>
      <c r="E42" s="71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71"/>
      <c r="Q42" s="156"/>
      <c r="R42" s="108"/>
      <c r="S42" s="108"/>
      <c r="T42" s="108"/>
      <c r="U42" s="108"/>
      <c r="V42" s="108"/>
    </row>
    <row r="43" spans="1:22" outlineLevel="1">
      <c r="A43" s="146"/>
      <c r="B43" s="173" t="s">
        <v>101</v>
      </c>
      <c r="C43" s="238" t="s">
        <v>19</v>
      </c>
      <c r="D43" s="242">
        <f>SUM(F43:O43)</f>
        <v>0</v>
      </c>
      <c r="E43" s="71"/>
      <c r="F43" s="146"/>
      <c r="G43" s="226">
        <f t="shared" ref="G43:O43" si="18">IF(G44&gt;=0,$D$41/$D$42,0)</f>
        <v>0</v>
      </c>
      <c r="H43" s="226">
        <f t="shared" si="18"/>
        <v>0</v>
      </c>
      <c r="I43" s="226">
        <f t="shared" si="18"/>
        <v>0</v>
      </c>
      <c r="J43" s="226">
        <f t="shared" si="18"/>
        <v>0</v>
      </c>
      <c r="K43" s="226">
        <f t="shared" si="18"/>
        <v>0</v>
      </c>
      <c r="L43" s="226">
        <f t="shared" si="18"/>
        <v>0</v>
      </c>
      <c r="M43" s="226">
        <f t="shared" si="18"/>
        <v>0</v>
      </c>
      <c r="N43" s="226">
        <f t="shared" si="18"/>
        <v>0</v>
      </c>
      <c r="O43" s="226">
        <f t="shared" si="18"/>
        <v>0</v>
      </c>
      <c r="P43" s="353"/>
      <c r="Q43" s="156"/>
      <c r="R43" s="108"/>
      <c r="S43" s="108"/>
      <c r="T43" s="108"/>
      <c r="U43" s="108"/>
      <c r="V43" s="108"/>
    </row>
    <row r="44" spans="1:22" outlineLevel="1">
      <c r="A44" s="146"/>
      <c r="B44" s="525" t="s">
        <v>136</v>
      </c>
      <c r="C44" s="238"/>
      <c r="D44" s="659"/>
      <c r="E44" s="71"/>
      <c r="F44" s="146"/>
      <c r="G44" s="416">
        <f>D42</f>
        <v>9</v>
      </c>
      <c r="H44" s="416">
        <f t="shared" ref="H44:O44" si="19">G44-1</f>
        <v>8</v>
      </c>
      <c r="I44" s="416">
        <f t="shared" si="19"/>
        <v>7</v>
      </c>
      <c r="J44" s="416">
        <f t="shared" si="19"/>
        <v>6</v>
      </c>
      <c r="K44" s="416">
        <f t="shared" si="19"/>
        <v>5</v>
      </c>
      <c r="L44" s="416">
        <f t="shared" si="19"/>
        <v>4</v>
      </c>
      <c r="M44" s="416">
        <f t="shared" si="19"/>
        <v>3</v>
      </c>
      <c r="N44" s="416">
        <f t="shared" si="19"/>
        <v>2</v>
      </c>
      <c r="O44" s="416">
        <f t="shared" si="19"/>
        <v>1</v>
      </c>
      <c r="P44" s="416"/>
      <c r="Q44" s="156"/>
      <c r="R44" s="108"/>
      <c r="S44" s="108"/>
      <c r="T44" s="108"/>
      <c r="U44" s="108"/>
      <c r="V44" s="108"/>
    </row>
    <row r="45" spans="1:22" outlineLevel="1">
      <c r="A45" s="521"/>
      <c r="B45" s="526" t="s">
        <v>190</v>
      </c>
      <c r="C45" s="660" t="s">
        <v>19</v>
      </c>
      <c r="D45" s="521"/>
      <c r="E45" s="71"/>
      <c r="F45" s="516">
        <f>F41</f>
        <v>0</v>
      </c>
      <c r="G45" s="516">
        <f>F45+G41</f>
        <v>0</v>
      </c>
      <c r="H45" s="516">
        <f t="shared" ref="H45:O45" si="20">G45-H43</f>
        <v>0</v>
      </c>
      <c r="I45" s="516">
        <f t="shared" si="20"/>
        <v>0</v>
      </c>
      <c r="J45" s="516">
        <f t="shared" si="20"/>
        <v>0</v>
      </c>
      <c r="K45" s="516">
        <f t="shared" si="20"/>
        <v>0</v>
      </c>
      <c r="L45" s="516">
        <f t="shared" si="20"/>
        <v>0</v>
      </c>
      <c r="M45" s="516">
        <f t="shared" si="20"/>
        <v>0</v>
      </c>
      <c r="N45" s="516">
        <f t="shared" si="20"/>
        <v>0</v>
      </c>
      <c r="O45" s="516">
        <f t="shared" si="20"/>
        <v>0</v>
      </c>
      <c r="P45" s="353"/>
      <c r="Q45" s="156"/>
      <c r="R45" s="108"/>
      <c r="S45" s="108"/>
      <c r="T45" s="108"/>
      <c r="U45" s="108"/>
      <c r="V45" s="108"/>
    </row>
    <row r="46" spans="1:22" outlineLevel="1">
      <c r="A46" s="133"/>
      <c r="B46" s="177"/>
      <c r="C46" s="416"/>
      <c r="D46" s="133"/>
      <c r="E46" s="71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3"/>
      <c r="Q46" s="156"/>
      <c r="R46" s="108"/>
      <c r="S46" s="108"/>
      <c r="T46" s="108"/>
      <c r="U46" s="108"/>
      <c r="V46" s="108"/>
    </row>
    <row r="47" spans="1:22" outlineLevel="1">
      <c r="A47" s="146"/>
      <c r="B47" s="524" t="s">
        <v>435</v>
      </c>
      <c r="C47" s="238"/>
      <c r="D47" s="522"/>
      <c r="E47" s="71"/>
      <c r="F47" s="517"/>
      <c r="G47" s="517"/>
      <c r="H47" s="517"/>
      <c r="I47" s="517"/>
      <c r="J47" s="517"/>
      <c r="K47" s="517"/>
      <c r="L47" s="517"/>
      <c r="M47" s="517"/>
      <c r="N47" s="517"/>
      <c r="O47" s="517"/>
      <c r="P47" s="353"/>
      <c r="Q47" s="156"/>
      <c r="R47" s="108"/>
      <c r="S47" s="108"/>
      <c r="T47" s="108"/>
      <c r="U47" s="108"/>
      <c r="V47" s="108"/>
    </row>
    <row r="48" spans="1:22" outlineLevel="1">
      <c r="A48" s="221" t="str">
        <f t="array" aca="1" ref="A48" ca="1">HYPERLINK(CELL("адрес",Макро!A70),"источник")</f>
        <v>источник</v>
      </c>
      <c r="B48" s="528" t="s">
        <v>434</v>
      </c>
      <c r="C48" s="238" t="s">
        <v>120</v>
      </c>
      <c r="D48" s="522"/>
      <c r="E48" s="71"/>
      <c r="F48" s="518">
        <f>Макро!F70</f>
        <v>2</v>
      </c>
      <c r="G48" s="518">
        <f>Макро!G70</f>
        <v>2</v>
      </c>
      <c r="H48" s="518">
        <f>Макро!H70</f>
        <v>2</v>
      </c>
      <c r="I48" s="518">
        <f>Макро!I70</f>
        <v>2</v>
      </c>
      <c r="J48" s="518">
        <f>Макро!J70</f>
        <v>2</v>
      </c>
      <c r="K48" s="518">
        <f>Макро!K70</f>
        <v>2</v>
      </c>
      <c r="L48" s="518">
        <f>Макро!L70</f>
        <v>2</v>
      </c>
      <c r="M48" s="518">
        <f>Макро!M70</f>
        <v>2</v>
      </c>
      <c r="N48" s="518">
        <f>Макро!N70</f>
        <v>2</v>
      </c>
      <c r="O48" s="518">
        <f>Макро!O70</f>
        <v>2</v>
      </c>
      <c r="P48" s="682"/>
      <c r="Q48" s="156"/>
      <c r="R48" s="108"/>
      <c r="S48" s="108"/>
      <c r="T48" s="108"/>
      <c r="U48" s="108"/>
      <c r="V48" s="108"/>
    </row>
    <row r="49" spans="1:22" ht="45" outlineLevel="1">
      <c r="A49" s="146"/>
      <c r="B49" s="173" t="s">
        <v>469</v>
      </c>
      <c r="C49" s="238" t="s">
        <v>19</v>
      </c>
      <c r="D49" s="240">
        <f>SUM(F49:O49)</f>
        <v>0</v>
      </c>
      <c r="E49" s="71"/>
      <c r="F49" s="226">
        <f>F41</f>
        <v>0</v>
      </c>
      <c r="G49" s="226">
        <f t="shared" ref="G49:O49" si="21">G41</f>
        <v>0</v>
      </c>
      <c r="H49" s="226">
        <f t="shared" si="21"/>
        <v>0</v>
      </c>
      <c r="I49" s="226">
        <f t="shared" si="21"/>
        <v>0</v>
      </c>
      <c r="J49" s="226">
        <f t="shared" si="21"/>
        <v>0</v>
      </c>
      <c r="K49" s="226">
        <f t="shared" si="21"/>
        <v>0</v>
      </c>
      <c r="L49" s="226">
        <f t="shared" si="21"/>
        <v>0</v>
      </c>
      <c r="M49" s="226">
        <f t="shared" si="21"/>
        <v>0</v>
      </c>
      <c r="N49" s="226">
        <f t="shared" si="21"/>
        <v>0</v>
      </c>
      <c r="O49" s="226">
        <f t="shared" si="21"/>
        <v>0</v>
      </c>
      <c r="P49" s="353"/>
      <c r="Q49" s="156"/>
      <c r="R49" s="108"/>
      <c r="S49" s="108"/>
      <c r="T49" s="108"/>
      <c r="U49" s="108"/>
      <c r="V49" s="108"/>
    </row>
    <row r="50" spans="1:22" outlineLevel="1">
      <c r="A50" s="146"/>
      <c r="B50" s="173"/>
      <c r="C50" s="238"/>
      <c r="D50" s="522"/>
      <c r="E50" s="71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71"/>
      <c r="Q50" s="156"/>
      <c r="R50" s="108"/>
      <c r="S50" s="108"/>
      <c r="T50" s="108"/>
      <c r="U50" s="108"/>
      <c r="V50" s="108"/>
    </row>
    <row r="51" spans="1:22" outlineLevel="1">
      <c r="A51" s="146"/>
      <c r="B51" s="173" t="s">
        <v>336</v>
      </c>
      <c r="C51" s="238" t="s">
        <v>19</v>
      </c>
      <c r="D51" s="240">
        <f>SUM(F51:O51)</f>
        <v>0</v>
      </c>
      <c r="E51" s="71"/>
      <c r="F51" s="146"/>
      <c r="G51" s="226">
        <f>G43*G48</f>
        <v>0</v>
      </c>
      <c r="H51" s="226">
        <f>H43*H48</f>
        <v>0</v>
      </c>
      <c r="I51" s="226">
        <f>I43*I48</f>
        <v>0</v>
      </c>
      <c r="J51" s="226">
        <f>J43*J48</f>
        <v>0</v>
      </c>
      <c r="K51" s="226"/>
      <c r="L51" s="226"/>
      <c r="M51" s="226"/>
      <c r="N51" s="226"/>
      <c r="O51" s="226"/>
      <c r="P51" s="353"/>
      <c r="Q51" s="156"/>
      <c r="R51" s="108"/>
      <c r="S51" s="108"/>
      <c r="T51" s="108"/>
      <c r="U51" s="108"/>
      <c r="V51" s="108"/>
    </row>
    <row r="52" spans="1:22" outlineLevel="1">
      <c r="A52" s="146"/>
      <c r="B52" s="525"/>
      <c r="C52" s="238"/>
      <c r="D52" s="525"/>
      <c r="E52" s="71"/>
      <c r="F52" s="146"/>
      <c r="G52" s="416"/>
      <c r="H52" s="416"/>
      <c r="I52" s="416"/>
      <c r="J52" s="416"/>
      <c r="K52" s="416"/>
      <c r="L52" s="416"/>
      <c r="M52" s="416"/>
      <c r="N52" s="416"/>
      <c r="O52" s="416"/>
      <c r="P52" s="416"/>
      <c r="Q52" s="156"/>
      <c r="R52" s="108"/>
      <c r="S52" s="108"/>
      <c r="T52" s="108"/>
      <c r="U52" s="108"/>
      <c r="V52" s="108"/>
    </row>
    <row r="53" spans="1:22" ht="30" outlineLevel="1">
      <c r="A53" s="521"/>
      <c r="B53" s="526" t="s">
        <v>335</v>
      </c>
      <c r="C53" s="660" t="s">
        <v>19</v>
      </c>
      <c r="D53" s="521"/>
      <c r="E53" s="71"/>
      <c r="F53" s="516">
        <f>F49</f>
        <v>0</v>
      </c>
      <c r="G53" s="516">
        <f>F53+G49</f>
        <v>0</v>
      </c>
      <c r="H53" s="516">
        <f t="shared" ref="H53:O53" si="22">G53-H51</f>
        <v>0</v>
      </c>
      <c r="I53" s="516">
        <f t="shared" si="22"/>
        <v>0</v>
      </c>
      <c r="J53" s="516">
        <f t="shared" si="22"/>
        <v>0</v>
      </c>
      <c r="K53" s="516">
        <f t="shared" si="22"/>
        <v>0</v>
      </c>
      <c r="L53" s="516">
        <f t="shared" si="22"/>
        <v>0</v>
      </c>
      <c r="M53" s="516">
        <f t="shared" si="22"/>
        <v>0</v>
      </c>
      <c r="N53" s="516">
        <f t="shared" si="22"/>
        <v>0</v>
      </c>
      <c r="O53" s="516">
        <f t="shared" si="22"/>
        <v>0</v>
      </c>
      <c r="P53" s="353"/>
      <c r="Q53" s="156"/>
      <c r="R53" s="108"/>
      <c r="S53" s="108"/>
      <c r="T53" s="108"/>
      <c r="U53" s="108"/>
      <c r="V53" s="108"/>
    </row>
    <row r="54" spans="1:22" outlineLevel="1">
      <c r="A54" s="133"/>
      <c r="B54" s="177"/>
      <c r="C54" s="416"/>
      <c r="D54" s="133"/>
      <c r="E54" s="71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3"/>
      <c r="Q54" s="156"/>
      <c r="R54" s="108"/>
      <c r="S54" s="108"/>
      <c r="T54" s="108"/>
      <c r="U54" s="108"/>
      <c r="V54" s="108"/>
    </row>
    <row r="55" spans="1:22" outlineLevel="1">
      <c r="A55" s="133"/>
      <c r="B55" s="177"/>
      <c r="C55" s="416"/>
      <c r="D55" s="133"/>
      <c r="E55" s="71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3"/>
      <c r="Q55" s="156"/>
      <c r="R55" s="108"/>
      <c r="S55" s="108"/>
      <c r="T55" s="108"/>
      <c r="U55" s="108"/>
      <c r="V55" s="108"/>
    </row>
    <row r="56" spans="1:22" outlineLevel="1">
      <c r="A56" s="146"/>
      <c r="B56" s="173"/>
      <c r="C56" s="416"/>
      <c r="D56" s="146"/>
      <c r="E56" s="71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71"/>
      <c r="Q56" s="156"/>
      <c r="R56" s="108"/>
      <c r="S56" s="108"/>
      <c r="T56" s="108"/>
      <c r="U56" s="108"/>
      <c r="V56" s="108"/>
    </row>
    <row r="57" spans="1:22" outlineLevel="1">
      <c r="A57" s="520"/>
      <c r="B57" s="520" t="s">
        <v>135</v>
      </c>
      <c r="C57" s="520"/>
      <c r="D57" s="520"/>
      <c r="E57" s="71"/>
      <c r="F57" s="520"/>
      <c r="G57" s="520"/>
      <c r="H57" s="520"/>
      <c r="I57" s="520"/>
      <c r="J57" s="520"/>
      <c r="K57" s="520"/>
      <c r="L57" s="520"/>
      <c r="M57" s="520"/>
      <c r="N57" s="520"/>
      <c r="O57" s="520"/>
      <c r="P57" s="681"/>
      <c r="Q57" s="156"/>
      <c r="R57" s="108"/>
      <c r="S57" s="108"/>
      <c r="T57" s="108"/>
      <c r="U57" s="108"/>
      <c r="V57" s="108"/>
    </row>
    <row r="58" spans="1:22" outlineLevel="1">
      <c r="A58" s="221" t="str">
        <f t="array" aca="1" ref="A58" ca="1">HYPERLINK(CELL("адрес",Исходные!A24),"источник")</f>
        <v>источник</v>
      </c>
      <c r="B58" s="173" t="s">
        <v>189</v>
      </c>
      <c r="C58" s="238" t="s">
        <v>19</v>
      </c>
      <c r="D58" s="242">
        <f>SUM(F58:O58)</f>
        <v>0</v>
      </c>
      <c r="E58" s="71"/>
      <c r="F58" s="225">
        <f>Исходные!F24</f>
        <v>0</v>
      </c>
      <c r="G58" s="225">
        <f>Исходные!G24</f>
        <v>0</v>
      </c>
      <c r="H58" s="225">
        <f>Исходные!H24</f>
        <v>0</v>
      </c>
      <c r="I58" s="225">
        <f>Исходные!I24</f>
        <v>0</v>
      </c>
      <c r="J58" s="225">
        <f>Исходные!J24</f>
        <v>0</v>
      </c>
      <c r="K58" s="225">
        <f>Исходные!K24</f>
        <v>0</v>
      </c>
      <c r="L58" s="225">
        <f>Исходные!L24</f>
        <v>0</v>
      </c>
      <c r="M58" s="225">
        <f>Исходные!M24</f>
        <v>0</v>
      </c>
      <c r="N58" s="225">
        <f>Исходные!N24</f>
        <v>0</v>
      </c>
      <c r="O58" s="225">
        <f>Исходные!O24</f>
        <v>0</v>
      </c>
      <c r="P58" s="349"/>
      <c r="Q58" s="156"/>
      <c r="R58" s="108"/>
      <c r="S58" s="108"/>
      <c r="T58" s="108"/>
      <c r="U58" s="108"/>
      <c r="V58" s="108"/>
    </row>
    <row r="59" spans="1:22" outlineLevel="1">
      <c r="A59" s="146"/>
      <c r="B59" s="173" t="s">
        <v>132</v>
      </c>
      <c r="C59" s="238" t="s">
        <v>19</v>
      </c>
      <c r="D59" s="242">
        <f>SUM(F59:O59)</f>
        <v>0</v>
      </c>
      <c r="E59" s="71"/>
      <c r="F59" s="226">
        <f>F58/(1+Макро!F31)*Макро!F31</f>
        <v>0</v>
      </c>
      <c r="G59" s="226">
        <f>G58/(1+Макро!G31)*Макро!G31</f>
        <v>0</v>
      </c>
      <c r="H59" s="226">
        <f>H58/(1+Макро!H31)*Макро!H31</f>
        <v>0</v>
      </c>
      <c r="I59" s="226">
        <f>I58/(1+Макро!I31)*Макро!I31</f>
        <v>0</v>
      </c>
      <c r="J59" s="226">
        <f>J58/(1+Макро!J31)*Макро!J31</f>
        <v>0</v>
      </c>
      <c r="K59" s="226">
        <f>K58/(1+Макро!K31)*Макро!K31</f>
        <v>0</v>
      </c>
      <c r="L59" s="226">
        <f>L58/(1+Макро!L31)*Макро!L31</f>
        <v>0</v>
      </c>
      <c r="M59" s="226">
        <f>M58/(1+Макро!M31)*Макро!M31</f>
        <v>0</v>
      </c>
      <c r="N59" s="226">
        <f>N58/(1+Макро!N31)*Макро!N31</f>
        <v>0</v>
      </c>
      <c r="O59" s="226">
        <f>O58/(1+Макро!O31)*Макро!O31</f>
        <v>0</v>
      </c>
      <c r="P59" s="353"/>
      <c r="Q59" s="156"/>
      <c r="R59" s="108"/>
      <c r="S59" s="108"/>
      <c r="T59" s="108"/>
      <c r="U59" s="108"/>
      <c r="V59" s="108"/>
    </row>
    <row r="60" spans="1:22" ht="30" outlineLevel="1">
      <c r="A60" s="146"/>
      <c r="B60" s="173" t="s">
        <v>468</v>
      </c>
      <c r="C60" s="238" t="s">
        <v>19</v>
      </c>
      <c r="D60" s="242">
        <f>SUM(F60:O60)</f>
        <v>0</v>
      </c>
      <c r="E60" s="71"/>
      <c r="F60" s="226">
        <f t="shared" ref="F60:O60" si="23">F58-F59</f>
        <v>0</v>
      </c>
      <c r="G60" s="226">
        <f t="shared" si="23"/>
        <v>0</v>
      </c>
      <c r="H60" s="226">
        <f t="shared" si="23"/>
        <v>0</v>
      </c>
      <c r="I60" s="226">
        <f t="shared" si="23"/>
        <v>0</v>
      </c>
      <c r="J60" s="226">
        <f t="shared" si="23"/>
        <v>0</v>
      </c>
      <c r="K60" s="226">
        <f t="shared" si="23"/>
        <v>0</v>
      </c>
      <c r="L60" s="226">
        <f t="shared" si="23"/>
        <v>0</v>
      </c>
      <c r="M60" s="226">
        <f t="shared" si="23"/>
        <v>0</v>
      </c>
      <c r="N60" s="226">
        <f t="shared" si="23"/>
        <v>0</v>
      </c>
      <c r="O60" s="226">
        <f t="shared" si="23"/>
        <v>0</v>
      </c>
      <c r="P60" s="353"/>
      <c r="Q60" s="156"/>
      <c r="R60" s="108"/>
      <c r="S60" s="108"/>
      <c r="T60" s="108"/>
      <c r="U60" s="108"/>
      <c r="V60" s="108"/>
    </row>
    <row r="61" spans="1:22" ht="30" outlineLevel="1">
      <c r="A61" s="146"/>
      <c r="B61" s="173" t="s">
        <v>130</v>
      </c>
      <c r="C61" s="238" t="s">
        <v>131</v>
      </c>
      <c r="D61" s="753">
        <v>5</v>
      </c>
      <c r="E61" s="71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71"/>
      <c r="Q61" s="156"/>
      <c r="R61" s="108"/>
      <c r="S61" s="108"/>
      <c r="T61" s="108"/>
      <c r="U61" s="108"/>
      <c r="V61" s="108"/>
    </row>
    <row r="62" spans="1:22" outlineLevel="1">
      <c r="A62" s="146"/>
      <c r="B62" s="173" t="s">
        <v>101</v>
      </c>
      <c r="C62" s="238" t="s">
        <v>19</v>
      </c>
      <c r="D62" s="242">
        <f>SUM(F62:O62)</f>
        <v>0</v>
      </c>
      <c r="E62" s="71"/>
      <c r="F62" s="146"/>
      <c r="G62" s="226"/>
      <c r="H62" s="226">
        <f t="shared" ref="H62:O62" si="24">IF(H63&gt;=0,$D$60/$D$61,0)</f>
        <v>0</v>
      </c>
      <c r="I62" s="226">
        <f t="shared" si="24"/>
        <v>0</v>
      </c>
      <c r="J62" s="226">
        <f t="shared" si="24"/>
        <v>0</v>
      </c>
      <c r="K62" s="226">
        <f t="shared" si="24"/>
        <v>0</v>
      </c>
      <c r="L62" s="226">
        <f t="shared" si="24"/>
        <v>0</v>
      </c>
      <c r="M62" s="226">
        <f t="shared" si="24"/>
        <v>0</v>
      </c>
      <c r="N62" s="226">
        <f t="shared" si="24"/>
        <v>0</v>
      </c>
      <c r="O62" s="226">
        <f t="shared" si="24"/>
        <v>0</v>
      </c>
      <c r="P62" s="353"/>
      <c r="Q62" s="156"/>
      <c r="R62" s="108"/>
      <c r="S62" s="108"/>
      <c r="T62" s="108"/>
      <c r="U62" s="108"/>
      <c r="V62" s="108"/>
    </row>
    <row r="63" spans="1:22" outlineLevel="1">
      <c r="A63" s="146"/>
      <c r="B63" s="525" t="s">
        <v>136</v>
      </c>
      <c r="C63" s="238"/>
      <c r="D63" s="659"/>
      <c r="E63" s="71"/>
      <c r="F63" s="146"/>
      <c r="G63" s="416">
        <f>D61</f>
        <v>5</v>
      </c>
      <c r="H63" s="416">
        <f t="shared" ref="H63:O63" si="25">G63-1</f>
        <v>4</v>
      </c>
      <c r="I63" s="416">
        <f t="shared" si="25"/>
        <v>3</v>
      </c>
      <c r="J63" s="416">
        <f t="shared" si="25"/>
        <v>2</v>
      </c>
      <c r="K63" s="416">
        <f t="shared" si="25"/>
        <v>1</v>
      </c>
      <c r="L63" s="416">
        <f t="shared" si="25"/>
        <v>0</v>
      </c>
      <c r="M63" s="416">
        <f t="shared" si="25"/>
        <v>-1</v>
      </c>
      <c r="N63" s="416">
        <f t="shared" si="25"/>
        <v>-2</v>
      </c>
      <c r="O63" s="416">
        <f t="shared" si="25"/>
        <v>-3</v>
      </c>
      <c r="P63" s="416"/>
      <c r="Q63" s="156"/>
      <c r="R63" s="108"/>
      <c r="S63" s="108"/>
      <c r="T63" s="108"/>
      <c r="U63" s="108"/>
      <c r="V63" s="108"/>
    </row>
    <row r="64" spans="1:22" outlineLevel="1">
      <c r="A64" s="521"/>
      <c r="B64" s="526" t="s">
        <v>190</v>
      </c>
      <c r="C64" s="660" t="s">
        <v>19</v>
      </c>
      <c r="D64" s="521"/>
      <c r="E64" s="71"/>
      <c r="F64" s="516">
        <f>F60</f>
        <v>0</v>
      </c>
      <c r="G64" s="516">
        <f>F64+G60</f>
        <v>0</v>
      </c>
      <c r="H64" s="516">
        <f t="shared" ref="H64:O64" si="26">G64-H62</f>
        <v>0</v>
      </c>
      <c r="I64" s="516">
        <f t="shared" si="26"/>
        <v>0</v>
      </c>
      <c r="J64" s="516">
        <f t="shared" si="26"/>
        <v>0</v>
      </c>
      <c r="K64" s="516">
        <f t="shared" si="26"/>
        <v>0</v>
      </c>
      <c r="L64" s="516">
        <f t="shared" si="26"/>
        <v>0</v>
      </c>
      <c r="M64" s="516">
        <f t="shared" si="26"/>
        <v>0</v>
      </c>
      <c r="N64" s="516">
        <f t="shared" si="26"/>
        <v>0</v>
      </c>
      <c r="O64" s="516">
        <f t="shared" si="26"/>
        <v>0</v>
      </c>
      <c r="P64" s="353"/>
      <c r="Q64" s="156"/>
      <c r="R64" s="108"/>
      <c r="S64" s="108"/>
      <c r="T64" s="108"/>
      <c r="U64" s="108"/>
      <c r="V64" s="108"/>
    </row>
    <row r="65" spans="1:22" outlineLevel="1">
      <c r="A65" s="133"/>
      <c r="B65" s="177"/>
      <c r="C65" s="416"/>
      <c r="D65" s="133"/>
      <c r="E65" s="71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3"/>
      <c r="Q65" s="156"/>
      <c r="R65" s="108"/>
      <c r="S65" s="108"/>
      <c r="T65" s="108"/>
      <c r="U65" s="108"/>
      <c r="V65" s="108"/>
    </row>
    <row r="66" spans="1:22" outlineLevel="1">
      <c r="A66" s="522"/>
      <c r="B66" s="524" t="s">
        <v>435</v>
      </c>
      <c r="C66" s="238"/>
      <c r="D66" s="522"/>
      <c r="E66" s="71"/>
      <c r="F66" s="517"/>
      <c r="G66" s="517"/>
      <c r="H66" s="517"/>
      <c r="I66" s="517"/>
      <c r="J66" s="517"/>
      <c r="K66" s="517"/>
      <c r="L66" s="517"/>
      <c r="M66" s="517"/>
      <c r="N66" s="517"/>
      <c r="O66" s="517"/>
      <c r="P66" s="353"/>
      <c r="Q66" s="156"/>
      <c r="R66" s="108"/>
      <c r="S66" s="108"/>
      <c r="T66" s="108"/>
      <c r="U66" s="108"/>
      <c r="V66" s="108"/>
    </row>
    <row r="67" spans="1:22" outlineLevel="1">
      <c r="A67" s="523" t="str">
        <f t="array" aca="1" ref="A67" ca="1">HYPERLINK(CELL("адрес",Макро!A70),"источник")</f>
        <v>источник</v>
      </c>
      <c r="B67" s="528" t="s">
        <v>434</v>
      </c>
      <c r="C67" s="238" t="s">
        <v>120</v>
      </c>
      <c r="D67" s="522"/>
      <c r="E67" s="71"/>
      <c r="F67" s="518">
        <f>Макро!F70</f>
        <v>2</v>
      </c>
      <c r="G67" s="518">
        <f>Макро!G70</f>
        <v>2</v>
      </c>
      <c r="H67" s="518">
        <f>Макро!H70</f>
        <v>2</v>
      </c>
      <c r="I67" s="518">
        <f>Макро!I70</f>
        <v>2</v>
      </c>
      <c r="J67" s="518">
        <f>Макро!J70</f>
        <v>2</v>
      </c>
      <c r="K67" s="518">
        <f>Макро!K70</f>
        <v>2</v>
      </c>
      <c r="L67" s="518">
        <f>Макро!L70</f>
        <v>2</v>
      </c>
      <c r="M67" s="518">
        <f>Макро!M70</f>
        <v>2</v>
      </c>
      <c r="N67" s="518">
        <f>Макро!N70</f>
        <v>2</v>
      </c>
      <c r="O67" s="518">
        <f>Макро!O70</f>
        <v>2</v>
      </c>
      <c r="P67" s="682"/>
      <c r="Q67" s="156"/>
      <c r="R67" s="108"/>
      <c r="S67" s="108"/>
      <c r="T67" s="108"/>
      <c r="U67" s="108"/>
      <c r="V67" s="108"/>
    </row>
    <row r="68" spans="1:22" ht="45" outlineLevel="1">
      <c r="A68" s="522"/>
      <c r="B68" s="173" t="s">
        <v>469</v>
      </c>
      <c r="C68" s="238" t="s">
        <v>19</v>
      </c>
      <c r="D68" s="240">
        <f>SUM(F68:O68)</f>
        <v>0</v>
      </c>
      <c r="E68" s="71"/>
      <c r="F68" s="226">
        <f>F60</f>
        <v>0</v>
      </c>
      <c r="G68" s="226">
        <f t="shared" ref="G68:O68" si="27">G60</f>
        <v>0</v>
      </c>
      <c r="H68" s="226">
        <f t="shared" si="27"/>
        <v>0</v>
      </c>
      <c r="I68" s="226">
        <f t="shared" si="27"/>
        <v>0</v>
      </c>
      <c r="J68" s="226">
        <f t="shared" si="27"/>
        <v>0</v>
      </c>
      <c r="K68" s="226">
        <f t="shared" si="27"/>
        <v>0</v>
      </c>
      <c r="L68" s="226">
        <f t="shared" si="27"/>
        <v>0</v>
      </c>
      <c r="M68" s="226">
        <f t="shared" si="27"/>
        <v>0</v>
      </c>
      <c r="N68" s="226">
        <f t="shared" si="27"/>
        <v>0</v>
      </c>
      <c r="O68" s="226">
        <f t="shared" si="27"/>
        <v>0</v>
      </c>
      <c r="P68" s="353"/>
      <c r="Q68" s="156"/>
      <c r="R68" s="108"/>
      <c r="S68" s="108"/>
      <c r="T68" s="108"/>
      <c r="U68" s="108"/>
      <c r="V68" s="108"/>
    </row>
    <row r="69" spans="1:22" outlineLevel="1">
      <c r="A69" s="522"/>
      <c r="B69" s="173"/>
      <c r="C69" s="238"/>
      <c r="D69" s="522"/>
      <c r="E69" s="71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71"/>
      <c r="Q69" s="156"/>
      <c r="R69" s="108"/>
      <c r="S69" s="108"/>
      <c r="T69" s="108"/>
      <c r="U69" s="108"/>
      <c r="V69" s="108"/>
    </row>
    <row r="70" spans="1:22" outlineLevel="1">
      <c r="A70" s="522"/>
      <c r="B70" s="173" t="s">
        <v>336</v>
      </c>
      <c r="C70" s="238" t="s">
        <v>19</v>
      </c>
      <c r="D70" s="240">
        <f>SUM(F70:O70)</f>
        <v>0</v>
      </c>
      <c r="E70" s="71"/>
      <c r="F70" s="146"/>
      <c r="G70" s="226"/>
      <c r="H70" s="226">
        <f>H62*H67</f>
        <v>0</v>
      </c>
      <c r="I70" s="226">
        <f>I62*I67</f>
        <v>0</v>
      </c>
      <c r="J70" s="226">
        <f>J62*J67</f>
        <v>0</v>
      </c>
      <c r="K70" s="226"/>
      <c r="L70" s="226"/>
      <c r="M70" s="226"/>
      <c r="N70" s="226"/>
      <c r="O70" s="226"/>
      <c r="P70" s="353"/>
      <c r="Q70" s="156"/>
      <c r="R70" s="108"/>
      <c r="S70" s="108"/>
      <c r="T70" s="108"/>
      <c r="U70" s="108"/>
      <c r="V70" s="108"/>
    </row>
    <row r="71" spans="1:22" outlineLevel="1">
      <c r="A71" s="522"/>
      <c r="B71" s="525"/>
      <c r="C71" s="238"/>
      <c r="D71" s="525"/>
      <c r="E71" s="71"/>
      <c r="F71" s="14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156"/>
      <c r="R71" s="108"/>
      <c r="S71" s="108"/>
      <c r="T71" s="108"/>
      <c r="U71" s="108"/>
      <c r="V71" s="108"/>
    </row>
    <row r="72" spans="1:22" ht="30" outlineLevel="1">
      <c r="A72" s="521"/>
      <c r="B72" s="526" t="s">
        <v>335</v>
      </c>
      <c r="C72" s="660" t="s">
        <v>19</v>
      </c>
      <c r="D72" s="521"/>
      <c r="E72" s="71"/>
      <c r="F72" s="516">
        <f>F68</f>
        <v>0</v>
      </c>
      <c r="G72" s="516">
        <f>F72+G68</f>
        <v>0</v>
      </c>
      <c r="H72" s="516">
        <f t="shared" ref="H72:O72" si="28">G72-H70</f>
        <v>0</v>
      </c>
      <c r="I72" s="516">
        <f t="shared" si="28"/>
        <v>0</v>
      </c>
      <c r="J72" s="516">
        <f t="shared" si="28"/>
        <v>0</v>
      </c>
      <c r="K72" s="516">
        <f t="shared" si="28"/>
        <v>0</v>
      </c>
      <c r="L72" s="516">
        <f t="shared" si="28"/>
        <v>0</v>
      </c>
      <c r="M72" s="516">
        <f t="shared" si="28"/>
        <v>0</v>
      </c>
      <c r="N72" s="516">
        <f t="shared" si="28"/>
        <v>0</v>
      </c>
      <c r="O72" s="516">
        <f t="shared" si="28"/>
        <v>0</v>
      </c>
      <c r="P72" s="353"/>
      <c r="Q72" s="156"/>
      <c r="R72" s="108"/>
      <c r="S72" s="108"/>
      <c r="T72" s="108"/>
      <c r="U72" s="108"/>
      <c r="V72" s="108"/>
    </row>
    <row r="73" spans="1:22" outlineLevel="1">
      <c r="A73" s="133"/>
      <c r="B73" s="177"/>
      <c r="C73" s="416"/>
      <c r="D73" s="133"/>
      <c r="E73" s="71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3"/>
      <c r="Q73" s="156"/>
      <c r="R73" s="108"/>
      <c r="S73" s="108"/>
      <c r="T73" s="108"/>
      <c r="U73" s="108"/>
      <c r="V73" s="108"/>
    </row>
    <row r="74" spans="1:22" outlineLevel="1">
      <c r="A74" s="133"/>
      <c r="B74" s="177"/>
      <c r="C74" s="416"/>
      <c r="D74" s="133"/>
      <c r="E74" s="71"/>
      <c r="F74" s="133"/>
      <c r="G74" s="352"/>
      <c r="H74" s="352"/>
      <c r="I74" s="352"/>
      <c r="J74" s="352"/>
      <c r="K74" s="352"/>
      <c r="L74" s="352"/>
      <c r="M74" s="352"/>
      <c r="N74" s="352"/>
      <c r="O74" s="352"/>
      <c r="P74" s="353"/>
      <c r="Q74" s="156"/>
      <c r="R74" s="108"/>
      <c r="S74" s="108"/>
      <c r="T74" s="108"/>
      <c r="U74" s="108"/>
      <c r="V74" s="108"/>
    </row>
    <row r="75" spans="1:22" outlineLevel="1">
      <c r="A75" s="520"/>
      <c r="B75" s="520" t="s">
        <v>192</v>
      </c>
      <c r="C75" s="520"/>
      <c r="D75" s="520"/>
      <c r="E75" s="71"/>
      <c r="F75" s="520"/>
      <c r="G75" s="520"/>
      <c r="H75" s="520"/>
      <c r="I75" s="520"/>
      <c r="J75" s="520"/>
      <c r="K75" s="520"/>
      <c r="L75" s="520"/>
      <c r="M75" s="520"/>
      <c r="N75" s="520"/>
      <c r="O75" s="520"/>
      <c r="P75" s="681"/>
      <c r="Q75" s="156"/>
      <c r="R75" s="108"/>
      <c r="S75" s="108"/>
      <c r="T75" s="108"/>
      <c r="U75" s="108"/>
      <c r="V75" s="108"/>
    </row>
    <row r="76" spans="1:22" outlineLevel="1">
      <c r="A76" s="221" t="str">
        <f t="array" aca="1" ref="A76" ca="1">HYPERLINK(CELL("адрес",Исходные!A33),"источник")</f>
        <v>источник</v>
      </c>
      <c r="B76" s="173" t="s">
        <v>189</v>
      </c>
      <c r="C76" s="238" t="s">
        <v>19</v>
      </c>
      <c r="D76" s="242">
        <f>SUM(F76:O76)</f>
        <v>0</v>
      </c>
      <c r="E76" s="71"/>
      <c r="F76" s="225">
        <f>Исходные!F25</f>
        <v>0</v>
      </c>
      <c r="G76" s="225">
        <f>Исходные!G25</f>
        <v>0</v>
      </c>
      <c r="H76" s="225">
        <f>Исходные!H25</f>
        <v>0</v>
      </c>
      <c r="I76" s="225">
        <f>Исходные!I25</f>
        <v>0</v>
      </c>
      <c r="J76" s="225">
        <f>Исходные!J25</f>
        <v>0</v>
      </c>
      <c r="K76" s="225">
        <f>Исходные!K25</f>
        <v>0</v>
      </c>
      <c r="L76" s="225">
        <f>Исходные!L25</f>
        <v>0</v>
      </c>
      <c r="M76" s="225">
        <f>Исходные!M25</f>
        <v>0</v>
      </c>
      <c r="N76" s="225">
        <f>Исходные!N25</f>
        <v>0</v>
      </c>
      <c r="O76" s="225">
        <f>Исходные!O25</f>
        <v>0</v>
      </c>
      <c r="P76" s="349"/>
      <c r="Q76" s="156"/>
      <c r="R76" s="108"/>
      <c r="S76" s="108"/>
      <c r="T76" s="108"/>
      <c r="U76" s="108"/>
      <c r="V76" s="108"/>
    </row>
    <row r="77" spans="1:22" outlineLevel="1">
      <c r="A77" s="146"/>
      <c r="B77" s="173" t="s">
        <v>132</v>
      </c>
      <c r="C77" s="238" t="s">
        <v>19</v>
      </c>
      <c r="D77" s="242">
        <f>SUM(F77:O77)</f>
        <v>0</v>
      </c>
      <c r="E77" s="71"/>
      <c r="F77" s="226">
        <f>F76/(1+Макро!F31)*Макро!F31</f>
        <v>0</v>
      </c>
      <c r="G77" s="226">
        <f>G76/(1+Макро!G31)*Макро!G31</f>
        <v>0</v>
      </c>
      <c r="H77" s="226">
        <f>H76/(1+Макро!H31)*Макро!H31</f>
        <v>0</v>
      </c>
      <c r="I77" s="226">
        <f>I76/(1+Макро!I31)*Макро!I31</f>
        <v>0</v>
      </c>
      <c r="J77" s="226">
        <f>J76/(1+Макро!J31)*Макро!J31</f>
        <v>0</v>
      </c>
      <c r="K77" s="226">
        <f>K76/(1+Макро!K31)*Макро!K31</f>
        <v>0</v>
      </c>
      <c r="L77" s="226">
        <f>L76/(1+Макро!L31)*Макро!L31</f>
        <v>0</v>
      </c>
      <c r="M77" s="226">
        <f>M76/(1+Макро!M31)*Макро!M31</f>
        <v>0</v>
      </c>
      <c r="N77" s="226">
        <f>N76/(1+Макро!N31)*Макро!N31</f>
        <v>0</v>
      </c>
      <c r="O77" s="226">
        <f>O76/(1+Макро!O31)*Макро!O31</f>
        <v>0</v>
      </c>
      <c r="P77" s="353"/>
      <c r="Q77" s="156"/>
      <c r="R77" s="108"/>
      <c r="S77" s="108"/>
      <c r="T77" s="108"/>
      <c r="U77" s="108"/>
      <c r="V77" s="108"/>
    </row>
    <row r="78" spans="1:22" ht="30" outlineLevel="1">
      <c r="A78" s="146"/>
      <c r="B78" s="173" t="s">
        <v>468</v>
      </c>
      <c r="C78" s="238" t="s">
        <v>19</v>
      </c>
      <c r="D78" s="242">
        <f>SUM(F78:O78)</f>
        <v>0</v>
      </c>
      <c r="E78" s="71"/>
      <c r="F78" s="226">
        <f t="shared" ref="F78:O78" si="29">F76-F77</f>
        <v>0</v>
      </c>
      <c r="G78" s="226">
        <f t="shared" si="29"/>
        <v>0</v>
      </c>
      <c r="H78" s="226">
        <f t="shared" si="29"/>
        <v>0</v>
      </c>
      <c r="I78" s="226">
        <f t="shared" si="29"/>
        <v>0</v>
      </c>
      <c r="J78" s="226">
        <f t="shared" si="29"/>
        <v>0</v>
      </c>
      <c r="K78" s="226">
        <f t="shared" si="29"/>
        <v>0</v>
      </c>
      <c r="L78" s="226">
        <f t="shared" si="29"/>
        <v>0</v>
      </c>
      <c r="M78" s="226">
        <f t="shared" si="29"/>
        <v>0</v>
      </c>
      <c r="N78" s="226">
        <f t="shared" si="29"/>
        <v>0</v>
      </c>
      <c r="O78" s="226">
        <f t="shared" si="29"/>
        <v>0</v>
      </c>
      <c r="P78" s="353"/>
      <c r="Q78" s="156"/>
      <c r="R78" s="108"/>
      <c r="S78" s="108"/>
      <c r="T78" s="108"/>
      <c r="U78" s="108"/>
      <c r="V78" s="108"/>
    </row>
    <row r="79" spans="1:22" ht="30" outlineLevel="1">
      <c r="A79" s="146"/>
      <c r="B79" s="173" t="s">
        <v>130</v>
      </c>
      <c r="C79" s="238" t="s">
        <v>131</v>
      </c>
      <c r="D79" s="753"/>
      <c r="E79" s="71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71"/>
      <c r="Q79" s="156"/>
      <c r="R79" s="108"/>
      <c r="S79" s="108"/>
      <c r="T79" s="108"/>
      <c r="U79" s="108"/>
      <c r="V79" s="108"/>
    </row>
    <row r="80" spans="1:22" outlineLevel="1">
      <c r="A80" s="146"/>
      <c r="B80" s="173" t="s">
        <v>101</v>
      </c>
      <c r="C80" s="238" t="s">
        <v>19</v>
      </c>
      <c r="D80" s="242">
        <f>SUM(F80:O80)</f>
        <v>0</v>
      </c>
      <c r="E80" s="71"/>
      <c r="F80" s="146"/>
      <c r="G80" s="226"/>
      <c r="H80" s="226">
        <f t="shared" ref="H80:O80" si="30">IF(H81&gt;=0,$D$60/$D$61,0)</f>
        <v>0</v>
      </c>
      <c r="I80" s="226">
        <f t="shared" si="30"/>
        <v>0</v>
      </c>
      <c r="J80" s="226">
        <f t="shared" si="30"/>
        <v>0</v>
      </c>
      <c r="K80" s="226">
        <f t="shared" si="30"/>
        <v>0</v>
      </c>
      <c r="L80" s="226">
        <f t="shared" si="30"/>
        <v>0</v>
      </c>
      <c r="M80" s="226">
        <f t="shared" si="30"/>
        <v>0</v>
      </c>
      <c r="N80" s="226">
        <f t="shared" si="30"/>
        <v>0</v>
      </c>
      <c r="O80" s="226">
        <f t="shared" si="30"/>
        <v>0</v>
      </c>
      <c r="P80" s="353"/>
      <c r="Q80" s="156"/>
      <c r="R80" s="108"/>
      <c r="S80" s="108"/>
      <c r="T80" s="108"/>
      <c r="U80" s="108"/>
      <c r="V80" s="108"/>
    </row>
    <row r="81" spans="1:22" outlineLevel="1">
      <c r="A81" s="146"/>
      <c r="B81" s="525" t="s">
        <v>136</v>
      </c>
      <c r="C81" s="238"/>
      <c r="D81" s="659"/>
      <c r="E81" s="71"/>
      <c r="F81" s="146"/>
      <c r="G81" s="416">
        <f>D79</f>
        <v>0</v>
      </c>
      <c r="H81" s="416">
        <f t="shared" ref="H81:O81" si="31">G81-1</f>
        <v>-1</v>
      </c>
      <c r="I81" s="416">
        <f t="shared" si="31"/>
        <v>-2</v>
      </c>
      <c r="J81" s="416">
        <f t="shared" si="31"/>
        <v>-3</v>
      </c>
      <c r="K81" s="416">
        <f t="shared" si="31"/>
        <v>-4</v>
      </c>
      <c r="L81" s="416">
        <f t="shared" si="31"/>
        <v>-5</v>
      </c>
      <c r="M81" s="416">
        <f t="shared" si="31"/>
        <v>-6</v>
      </c>
      <c r="N81" s="416">
        <f t="shared" si="31"/>
        <v>-7</v>
      </c>
      <c r="O81" s="416">
        <f t="shared" si="31"/>
        <v>-8</v>
      </c>
      <c r="P81" s="416"/>
      <c r="Q81" s="156"/>
      <c r="R81" s="108"/>
      <c r="S81" s="108"/>
      <c r="T81" s="108"/>
      <c r="U81" s="108"/>
      <c r="V81" s="108"/>
    </row>
    <row r="82" spans="1:22" outlineLevel="1">
      <c r="A82" s="521"/>
      <c r="B82" s="526" t="s">
        <v>190</v>
      </c>
      <c r="C82" s="660" t="s">
        <v>19</v>
      </c>
      <c r="D82" s="521"/>
      <c r="E82" s="71"/>
      <c r="F82" s="516">
        <f>F78</f>
        <v>0</v>
      </c>
      <c r="G82" s="516">
        <f>F82+G78</f>
        <v>0</v>
      </c>
      <c r="H82" s="516">
        <f t="shared" ref="H82:O82" si="32">G82-H80</f>
        <v>0</v>
      </c>
      <c r="I82" s="516">
        <f t="shared" si="32"/>
        <v>0</v>
      </c>
      <c r="J82" s="516">
        <f t="shared" si="32"/>
        <v>0</v>
      </c>
      <c r="K82" s="516">
        <f t="shared" si="32"/>
        <v>0</v>
      </c>
      <c r="L82" s="516">
        <f t="shared" si="32"/>
        <v>0</v>
      </c>
      <c r="M82" s="516">
        <f t="shared" si="32"/>
        <v>0</v>
      </c>
      <c r="N82" s="516">
        <f t="shared" si="32"/>
        <v>0</v>
      </c>
      <c r="O82" s="516">
        <f t="shared" si="32"/>
        <v>0</v>
      </c>
      <c r="P82" s="353"/>
      <c r="Q82" s="156"/>
      <c r="R82" s="108"/>
      <c r="S82" s="108"/>
      <c r="T82" s="108"/>
      <c r="U82" s="108"/>
      <c r="V82" s="108"/>
    </row>
    <row r="83" spans="1:22" outlineLevel="1">
      <c r="A83" s="133"/>
      <c r="B83" s="177"/>
      <c r="C83" s="416"/>
      <c r="D83" s="133"/>
      <c r="E83" s="71"/>
      <c r="F83" s="133"/>
      <c r="G83" s="352"/>
      <c r="H83" s="352"/>
      <c r="I83" s="352"/>
      <c r="J83" s="352"/>
      <c r="K83" s="352"/>
      <c r="L83" s="352"/>
      <c r="M83" s="352"/>
      <c r="N83" s="352"/>
      <c r="O83" s="352"/>
      <c r="P83" s="353"/>
      <c r="Q83" s="156"/>
      <c r="R83" s="108"/>
      <c r="S83" s="108"/>
      <c r="T83" s="108"/>
      <c r="U83" s="108"/>
      <c r="V83" s="108"/>
    </row>
    <row r="84" spans="1:22" outlineLevel="1">
      <c r="A84" s="520"/>
      <c r="B84" s="520" t="s">
        <v>193</v>
      </c>
      <c r="C84" s="520"/>
      <c r="D84" s="520"/>
      <c r="E84" s="71"/>
      <c r="F84" s="520"/>
      <c r="G84" s="520"/>
      <c r="H84" s="520"/>
      <c r="I84" s="520"/>
      <c r="J84" s="520"/>
      <c r="K84" s="520"/>
      <c r="L84" s="520"/>
      <c r="M84" s="520"/>
      <c r="N84" s="520"/>
      <c r="O84" s="520"/>
      <c r="P84" s="681"/>
      <c r="Q84" s="156"/>
      <c r="R84" s="108"/>
      <c r="S84" s="108"/>
      <c r="T84" s="108"/>
      <c r="U84" s="108"/>
      <c r="V84" s="108"/>
    </row>
    <row r="85" spans="1:22" outlineLevel="1">
      <c r="A85" s="221" t="str">
        <f t="array" aca="1" ref="A85" ca="1">HYPERLINK(CELL("адрес",Исходные!A26),"источник")</f>
        <v>источник</v>
      </c>
      <c r="B85" s="173" t="s">
        <v>189</v>
      </c>
      <c r="C85" s="238" t="s">
        <v>19</v>
      </c>
      <c r="D85" s="242">
        <f>SUM(F85:O85)</f>
        <v>0</v>
      </c>
      <c r="E85" s="71"/>
      <c r="F85" s="225">
        <f>Исходные!F26</f>
        <v>0</v>
      </c>
      <c r="G85" s="225">
        <f>Исходные!G26</f>
        <v>0</v>
      </c>
      <c r="H85" s="225">
        <f>Исходные!H26</f>
        <v>0</v>
      </c>
      <c r="I85" s="225">
        <f>Исходные!I26</f>
        <v>0</v>
      </c>
      <c r="J85" s="225">
        <f>Исходные!J26</f>
        <v>0</v>
      </c>
      <c r="K85" s="225">
        <f>Исходные!K26</f>
        <v>0</v>
      </c>
      <c r="L85" s="225">
        <f>Исходные!L26</f>
        <v>0</v>
      </c>
      <c r="M85" s="225">
        <f>Исходные!M26</f>
        <v>0</v>
      </c>
      <c r="N85" s="225">
        <f>Исходные!N26</f>
        <v>0</v>
      </c>
      <c r="O85" s="225">
        <f>Исходные!O26</f>
        <v>0</v>
      </c>
      <c r="P85" s="349"/>
      <c r="Q85" s="156"/>
      <c r="R85" s="108"/>
      <c r="S85" s="108"/>
      <c r="T85" s="108"/>
      <c r="U85" s="108"/>
      <c r="V85" s="108"/>
    </row>
    <row r="86" spans="1:22" outlineLevel="1">
      <c r="A86" s="146"/>
      <c r="B86" s="173" t="s">
        <v>132</v>
      </c>
      <c r="C86" s="238" t="s">
        <v>19</v>
      </c>
      <c r="D86" s="242">
        <f>SUM(F86:O86)</f>
        <v>0</v>
      </c>
      <c r="E86" s="71"/>
      <c r="F86" s="226">
        <f>F85/(1+Макро!F31)*Макро!F31</f>
        <v>0</v>
      </c>
      <c r="G86" s="226">
        <f>G85/(1+Макро!G31)*Макро!G31</f>
        <v>0</v>
      </c>
      <c r="H86" s="226">
        <f>H85/(1+Макро!H31)*Макро!H31</f>
        <v>0</v>
      </c>
      <c r="I86" s="226">
        <f>I85/(1+Макро!I31)*Макро!I31</f>
        <v>0</v>
      </c>
      <c r="J86" s="226">
        <f>J85/(1+Макро!J31)*Макро!J31</f>
        <v>0</v>
      </c>
      <c r="K86" s="226">
        <f>K85/(1+Макро!K31)*Макро!K31</f>
        <v>0</v>
      </c>
      <c r="L86" s="226">
        <f>L85/(1+Макро!L31)*Макро!L31</f>
        <v>0</v>
      </c>
      <c r="M86" s="226">
        <f>M85/(1+Макро!M31)*Макро!M31</f>
        <v>0</v>
      </c>
      <c r="N86" s="226">
        <f>N85/(1+Макро!N31)*Макро!N31</f>
        <v>0</v>
      </c>
      <c r="O86" s="226">
        <f>O85/(1+Макро!O31)*Макро!O31</f>
        <v>0</v>
      </c>
      <c r="P86" s="353"/>
      <c r="Q86" s="156"/>
      <c r="R86" s="108"/>
      <c r="S86" s="108"/>
      <c r="T86" s="108"/>
      <c r="U86" s="108"/>
      <c r="V86" s="108"/>
    </row>
    <row r="87" spans="1:22" ht="30" outlineLevel="1">
      <c r="A87" s="146"/>
      <c r="B87" s="173" t="s">
        <v>468</v>
      </c>
      <c r="C87" s="238" t="s">
        <v>19</v>
      </c>
      <c r="D87" s="242">
        <f>SUM(F87:O87)</f>
        <v>0</v>
      </c>
      <c r="E87" s="71"/>
      <c r="F87" s="226">
        <f t="shared" ref="F87:O87" si="33">F85-F86</f>
        <v>0</v>
      </c>
      <c r="G87" s="226">
        <f t="shared" si="33"/>
        <v>0</v>
      </c>
      <c r="H87" s="226">
        <f t="shared" si="33"/>
        <v>0</v>
      </c>
      <c r="I87" s="226">
        <f t="shared" si="33"/>
        <v>0</v>
      </c>
      <c r="J87" s="226">
        <f t="shared" si="33"/>
        <v>0</v>
      </c>
      <c r="K87" s="226">
        <f t="shared" si="33"/>
        <v>0</v>
      </c>
      <c r="L87" s="226">
        <f t="shared" si="33"/>
        <v>0</v>
      </c>
      <c r="M87" s="226">
        <f t="shared" si="33"/>
        <v>0</v>
      </c>
      <c r="N87" s="226">
        <f t="shared" si="33"/>
        <v>0</v>
      </c>
      <c r="O87" s="226">
        <f t="shared" si="33"/>
        <v>0</v>
      </c>
      <c r="P87" s="353"/>
      <c r="Q87" s="156"/>
      <c r="R87" s="108"/>
      <c r="S87" s="108"/>
      <c r="T87" s="108"/>
      <c r="U87" s="108"/>
      <c r="V87" s="108"/>
    </row>
    <row r="88" spans="1:22" ht="30" outlineLevel="1">
      <c r="A88" s="146"/>
      <c r="B88" s="173" t="s">
        <v>130</v>
      </c>
      <c r="C88" s="238" t="s">
        <v>131</v>
      </c>
      <c r="D88" s="753"/>
      <c r="E88" s="71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71"/>
      <c r="Q88" s="156"/>
      <c r="R88" s="108"/>
      <c r="S88" s="108"/>
      <c r="T88" s="108"/>
      <c r="U88" s="108"/>
      <c r="V88" s="108"/>
    </row>
    <row r="89" spans="1:22" outlineLevel="1">
      <c r="A89" s="146"/>
      <c r="B89" s="173" t="s">
        <v>101</v>
      </c>
      <c r="C89" s="238" t="s">
        <v>19</v>
      </c>
      <c r="D89" s="242">
        <f>SUM(F89:O89)</f>
        <v>0</v>
      </c>
      <c r="E89" s="71"/>
      <c r="F89" s="146"/>
      <c r="G89" s="226"/>
      <c r="H89" s="226">
        <f t="shared" ref="H89:O89" si="34">IF(H90&gt;=0,$D$60/$D$61,0)</f>
        <v>0</v>
      </c>
      <c r="I89" s="226">
        <f t="shared" si="34"/>
        <v>0</v>
      </c>
      <c r="J89" s="226">
        <f t="shared" si="34"/>
        <v>0</v>
      </c>
      <c r="K89" s="226">
        <f t="shared" si="34"/>
        <v>0</v>
      </c>
      <c r="L89" s="226">
        <f t="shared" si="34"/>
        <v>0</v>
      </c>
      <c r="M89" s="226">
        <f t="shared" si="34"/>
        <v>0</v>
      </c>
      <c r="N89" s="226">
        <f t="shared" si="34"/>
        <v>0</v>
      </c>
      <c r="O89" s="226">
        <f t="shared" si="34"/>
        <v>0</v>
      </c>
      <c r="P89" s="353"/>
      <c r="Q89" s="156"/>
      <c r="R89" s="108"/>
      <c r="S89" s="108"/>
      <c r="T89" s="108"/>
      <c r="U89" s="108"/>
      <c r="V89" s="108"/>
    </row>
    <row r="90" spans="1:22" outlineLevel="1">
      <c r="A90" s="146"/>
      <c r="B90" s="525" t="s">
        <v>136</v>
      </c>
      <c r="C90" s="238"/>
      <c r="D90" s="659"/>
      <c r="E90" s="71"/>
      <c r="F90" s="146"/>
      <c r="G90" s="416">
        <f>D88</f>
        <v>0</v>
      </c>
      <c r="H90" s="416">
        <f t="shared" ref="H90:O90" si="35">G90-1</f>
        <v>-1</v>
      </c>
      <c r="I90" s="416">
        <f t="shared" si="35"/>
        <v>-2</v>
      </c>
      <c r="J90" s="416">
        <f t="shared" si="35"/>
        <v>-3</v>
      </c>
      <c r="K90" s="416">
        <f t="shared" si="35"/>
        <v>-4</v>
      </c>
      <c r="L90" s="416">
        <f t="shared" si="35"/>
        <v>-5</v>
      </c>
      <c r="M90" s="416">
        <f t="shared" si="35"/>
        <v>-6</v>
      </c>
      <c r="N90" s="416">
        <f t="shared" si="35"/>
        <v>-7</v>
      </c>
      <c r="O90" s="416">
        <f t="shared" si="35"/>
        <v>-8</v>
      </c>
      <c r="P90" s="416"/>
      <c r="Q90" s="156"/>
      <c r="R90" s="108"/>
      <c r="S90" s="108"/>
      <c r="T90" s="108"/>
      <c r="U90" s="108"/>
      <c r="V90" s="108"/>
    </row>
    <row r="91" spans="1:22" outlineLevel="1">
      <c r="A91" s="521"/>
      <c r="B91" s="526" t="s">
        <v>190</v>
      </c>
      <c r="C91" s="660" t="s">
        <v>19</v>
      </c>
      <c r="D91" s="521"/>
      <c r="E91" s="71"/>
      <c r="F91" s="516">
        <f>F87</f>
        <v>0</v>
      </c>
      <c r="G91" s="516">
        <f>F91+G87</f>
        <v>0</v>
      </c>
      <c r="H91" s="516">
        <f t="shared" ref="H91:O91" si="36">G91-H89</f>
        <v>0</v>
      </c>
      <c r="I91" s="516">
        <f t="shared" si="36"/>
        <v>0</v>
      </c>
      <c r="J91" s="516">
        <f t="shared" si="36"/>
        <v>0</v>
      </c>
      <c r="K91" s="516">
        <f t="shared" si="36"/>
        <v>0</v>
      </c>
      <c r="L91" s="516">
        <f t="shared" si="36"/>
        <v>0</v>
      </c>
      <c r="M91" s="516">
        <f t="shared" si="36"/>
        <v>0</v>
      </c>
      <c r="N91" s="516">
        <f t="shared" si="36"/>
        <v>0</v>
      </c>
      <c r="O91" s="516">
        <f t="shared" si="36"/>
        <v>0</v>
      </c>
      <c r="P91" s="353"/>
      <c r="Q91" s="156"/>
      <c r="R91" s="108"/>
      <c r="S91" s="108"/>
      <c r="T91" s="108"/>
      <c r="U91" s="108"/>
      <c r="V91" s="108"/>
    </row>
    <row r="92" spans="1:22" outlineLevel="1">
      <c r="A92" s="133"/>
      <c r="B92" s="177"/>
      <c r="C92" s="416"/>
      <c r="D92" s="133"/>
      <c r="E92" s="71"/>
      <c r="F92" s="133"/>
      <c r="G92" s="352"/>
      <c r="H92" s="352"/>
      <c r="I92" s="352"/>
      <c r="J92" s="352"/>
      <c r="K92" s="352"/>
      <c r="L92" s="352"/>
      <c r="M92" s="352"/>
      <c r="N92" s="352"/>
      <c r="O92" s="352"/>
      <c r="P92" s="353"/>
      <c r="Q92" s="156"/>
      <c r="R92" s="108"/>
      <c r="S92" s="108"/>
      <c r="T92" s="108"/>
      <c r="U92" s="108"/>
      <c r="V92" s="108"/>
    </row>
    <row r="93" spans="1:22" outlineLevel="1">
      <c r="A93" s="520"/>
      <c r="B93" s="520" t="s">
        <v>194</v>
      </c>
      <c r="C93" s="520"/>
      <c r="D93" s="520"/>
      <c r="E93" s="71"/>
      <c r="F93" s="520"/>
      <c r="G93" s="520"/>
      <c r="H93" s="520"/>
      <c r="I93" s="520"/>
      <c r="J93" s="520"/>
      <c r="K93" s="520"/>
      <c r="L93" s="520"/>
      <c r="M93" s="520"/>
      <c r="N93" s="520"/>
      <c r="O93" s="520"/>
      <c r="P93" s="681"/>
      <c r="Q93" s="156"/>
      <c r="R93" s="108"/>
      <c r="S93" s="108"/>
      <c r="T93" s="108"/>
      <c r="U93" s="108"/>
      <c r="V93" s="108"/>
    </row>
    <row r="94" spans="1:22" outlineLevel="1">
      <c r="A94" s="221" t="str">
        <f t="array" aca="1" ref="A94" ca="1">HYPERLINK(CELL("адрес",Исходные!A27),"источник")</f>
        <v>источник</v>
      </c>
      <c r="B94" s="173" t="s">
        <v>189</v>
      </c>
      <c r="C94" s="238" t="s">
        <v>19</v>
      </c>
      <c r="D94" s="242">
        <f>SUM(F94:O94)</f>
        <v>0</v>
      </c>
      <c r="E94" s="71"/>
      <c r="F94" s="225">
        <f>Исходные!F27</f>
        <v>0</v>
      </c>
      <c r="G94" s="225">
        <f>Исходные!G27</f>
        <v>0</v>
      </c>
      <c r="H94" s="225">
        <f>Исходные!H27</f>
        <v>0</v>
      </c>
      <c r="I94" s="225">
        <f>Исходные!I27</f>
        <v>0</v>
      </c>
      <c r="J94" s="225">
        <f>Исходные!J27</f>
        <v>0</v>
      </c>
      <c r="K94" s="225">
        <f>Исходные!K27</f>
        <v>0</v>
      </c>
      <c r="L94" s="225">
        <f>Исходные!L27</f>
        <v>0</v>
      </c>
      <c r="M94" s="225">
        <f>Исходные!M27</f>
        <v>0</v>
      </c>
      <c r="N94" s="225">
        <f>Исходные!N27</f>
        <v>0</v>
      </c>
      <c r="O94" s="225">
        <f>Исходные!O27</f>
        <v>0</v>
      </c>
      <c r="P94" s="349"/>
      <c r="Q94" s="156"/>
      <c r="R94" s="108"/>
      <c r="S94" s="108"/>
      <c r="T94" s="108"/>
      <c r="U94" s="108"/>
      <c r="V94" s="108"/>
    </row>
    <row r="95" spans="1:22" outlineLevel="1">
      <c r="A95" s="146"/>
      <c r="B95" s="173" t="s">
        <v>132</v>
      </c>
      <c r="C95" s="238" t="s">
        <v>19</v>
      </c>
      <c r="D95" s="242">
        <f>SUM(F95:O95)</f>
        <v>0</v>
      </c>
      <c r="E95" s="71"/>
      <c r="F95" s="226">
        <f>F94/(1+Макро!F31)*Макро!F31</f>
        <v>0</v>
      </c>
      <c r="G95" s="226">
        <f>G94/(1+Макро!G31)*Макро!G31</f>
        <v>0</v>
      </c>
      <c r="H95" s="226">
        <f>H94/(1+Макро!H31)*Макро!H31</f>
        <v>0</v>
      </c>
      <c r="I95" s="226">
        <f>I94/(1+Макро!I31)*Макро!I31</f>
        <v>0</v>
      </c>
      <c r="J95" s="226">
        <f>J94/(1+Макро!J31)*Макро!J31</f>
        <v>0</v>
      </c>
      <c r="K95" s="226">
        <f>K94/(1+Макро!K31)*Макро!K31</f>
        <v>0</v>
      </c>
      <c r="L95" s="226">
        <f>L94/(1+Макро!L31)*Макро!L31</f>
        <v>0</v>
      </c>
      <c r="M95" s="226">
        <f>M94/(1+Макро!M31)*Макро!M31</f>
        <v>0</v>
      </c>
      <c r="N95" s="226">
        <f>N94/(1+Макро!N31)*Макро!N31</f>
        <v>0</v>
      </c>
      <c r="O95" s="226">
        <f>O94/(1+Макро!O31)*Макро!O31</f>
        <v>0</v>
      </c>
      <c r="P95" s="353"/>
      <c r="Q95" s="156"/>
      <c r="R95" s="108"/>
      <c r="S95" s="108"/>
      <c r="T95" s="108"/>
      <c r="U95" s="108"/>
      <c r="V95" s="108"/>
    </row>
    <row r="96" spans="1:22" ht="30" outlineLevel="1">
      <c r="A96" s="146"/>
      <c r="B96" s="173" t="s">
        <v>468</v>
      </c>
      <c r="C96" s="238" t="s">
        <v>19</v>
      </c>
      <c r="D96" s="242">
        <f>SUM(F96:O96)</f>
        <v>0</v>
      </c>
      <c r="E96" s="71"/>
      <c r="F96" s="226">
        <f t="shared" ref="F96:O96" si="37">F94-F95</f>
        <v>0</v>
      </c>
      <c r="G96" s="226">
        <f t="shared" si="37"/>
        <v>0</v>
      </c>
      <c r="H96" s="226">
        <f t="shared" si="37"/>
        <v>0</v>
      </c>
      <c r="I96" s="226">
        <f t="shared" si="37"/>
        <v>0</v>
      </c>
      <c r="J96" s="226">
        <f t="shared" si="37"/>
        <v>0</v>
      </c>
      <c r="K96" s="226">
        <f t="shared" si="37"/>
        <v>0</v>
      </c>
      <c r="L96" s="226">
        <f t="shared" si="37"/>
        <v>0</v>
      </c>
      <c r="M96" s="226">
        <f t="shared" si="37"/>
        <v>0</v>
      </c>
      <c r="N96" s="226">
        <f t="shared" si="37"/>
        <v>0</v>
      </c>
      <c r="O96" s="226">
        <f t="shared" si="37"/>
        <v>0</v>
      </c>
      <c r="P96" s="353"/>
      <c r="Q96" s="156"/>
      <c r="R96" s="108"/>
      <c r="S96" s="108"/>
      <c r="T96" s="108"/>
      <c r="U96" s="108"/>
      <c r="V96" s="108"/>
    </row>
    <row r="97" spans="1:22" ht="30" outlineLevel="1">
      <c r="A97" s="146"/>
      <c r="B97" s="173" t="s">
        <v>130</v>
      </c>
      <c r="C97" s="238" t="s">
        <v>131</v>
      </c>
      <c r="D97" s="753">
        <v>5</v>
      </c>
      <c r="E97" s="71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71"/>
      <c r="Q97" s="156"/>
      <c r="R97" s="108"/>
      <c r="S97" s="108"/>
      <c r="T97" s="108"/>
      <c r="U97" s="108"/>
      <c r="V97" s="108"/>
    </row>
    <row r="98" spans="1:22" outlineLevel="1">
      <c r="A98" s="146"/>
      <c r="B98" s="173" t="s">
        <v>101</v>
      </c>
      <c r="C98" s="238" t="s">
        <v>19</v>
      </c>
      <c r="D98" s="242">
        <f>SUM(F98:O98)</f>
        <v>0</v>
      </c>
      <c r="E98" s="71"/>
      <c r="F98" s="146"/>
      <c r="G98" s="226">
        <f>IF(G99&gt;=0,$D$96/$D$97,0)</f>
        <v>0</v>
      </c>
      <c r="H98" s="226">
        <f>IF(H99&gt;=0,$D$96/$D$97,0)</f>
        <v>0</v>
      </c>
      <c r="I98" s="226">
        <f>IF(I99&gt;=0,$D$96/$D$97,0)</f>
        <v>0</v>
      </c>
      <c r="J98" s="226">
        <f>IF(J99&gt;=0,$D$96/$D$97,0)</f>
        <v>0</v>
      </c>
      <c r="K98" s="226">
        <f>IF(K99&gt;=0,$D$96/$D$97,0)</f>
        <v>0</v>
      </c>
      <c r="L98" s="226">
        <f t="shared" ref="L98:O98" si="38">IF(L99&gt;=0,$D$60/$D$61,0)</f>
        <v>0</v>
      </c>
      <c r="M98" s="226">
        <f t="shared" si="38"/>
        <v>0</v>
      </c>
      <c r="N98" s="226">
        <f t="shared" si="38"/>
        <v>0</v>
      </c>
      <c r="O98" s="226">
        <f t="shared" si="38"/>
        <v>0</v>
      </c>
      <c r="P98" s="353"/>
      <c r="Q98" s="156"/>
      <c r="R98" s="108"/>
      <c r="S98" s="108"/>
      <c r="T98" s="108"/>
      <c r="U98" s="108"/>
      <c r="V98" s="108"/>
    </row>
    <row r="99" spans="1:22" outlineLevel="1">
      <c r="A99" s="146"/>
      <c r="B99" s="525" t="s">
        <v>136</v>
      </c>
      <c r="C99" s="238"/>
      <c r="D99" s="659"/>
      <c r="E99" s="71"/>
      <c r="F99" s="146"/>
      <c r="G99" s="416">
        <f>D97</f>
        <v>5</v>
      </c>
      <c r="H99" s="416">
        <f t="shared" ref="H99:K99" si="39">G99-1</f>
        <v>4</v>
      </c>
      <c r="I99" s="416">
        <f t="shared" si="39"/>
        <v>3</v>
      </c>
      <c r="J99" s="416">
        <f t="shared" si="39"/>
        <v>2</v>
      </c>
      <c r="K99" s="416">
        <f t="shared" si="39"/>
        <v>1</v>
      </c>
      <c r="L99" s="416"/>
      <c r="M99" s="416"/>
      <c r="N99" s="416"/>
      <c r="O99" s="416"/>
      <c r="P99" s="416"/>
      <c r="Q99" s="156"/>
      <c r="R99" s="108"/>
      <c r="S99" s="108"/>
      <c r="T99" s="108"/>
      <c r="U99" s="108"/>
      <c r="V99" s="108"/>
    </row>
    <row r="100" spans="1:22" outlineLevel="1">
      <c r="A100" s="521"/>
      <c r="B100" s="526" t="s">
        <v>190</v>
      </c>
      <c r="C100" s="660" t="s">
        <v>19</v>
      </c>
      <c r="D100" s="521"/>
      <c r="E100" s="71"/>
      <c r="F100" s="516">
        <f>F96</f>
        <v>0</v>
      </c>
      <c r="G100" s="516">
        <f t="shared" ref="G100:K100" si="40">F100-G98</f>
        <v>0</v>
      </c>
      <c r="H100" s="516">
        <f t="shared" si="40"/>
        <v>0</v>
      </c>
      <c r="I100" s="516">
        <f t="shared" si="40"/>
        <v>0</v>
      </c>
      <c r="J100" s="516">
        <f t="shared" si="40"/>
        <v>0</v>
      </c>
      <c r="K100" s="516">
        <f t="shared" si="40"/>
        <v>0</v>
      </c>
      <c r="L100" s="516"/>
      <c r="M100" s="516"/>
      <c r="N100" s="516"/>
      <c r="O100" s="516"/>
      <c r="P100" s="353"/>
      <c r="Q100" s="156"/>
      <c r="R100" s="108"/>
      <c r="S100" s="108"/>
      <c r="T100" s="108"/>
      <c r="U100" s="108"/>
      <c r="V100" s="108"/>
    </row>
    <row r="101" spans="1:22" outlineLevel="1">
      <c r="A101" s="133"/>
      <c r="B101" s="177"/>
      <c r="C101" s="416"/>
      <c r="D101" s="133"/>
      <c r="E101" s="71"/>
      <c r="F101" s="133"/>
      <c r="G101" s="352"/>
      <c r="H101" s="352"/>
      <c r="I101" s="352"/>
      <c r="J101" s="352"/>
      <c r="K101" s="352"/>
      <c r="L101" s="352"/>
      <c r="M101" s="352"/>
      <c r="N101" s="352"/>
      <c r="O101" s="352"/>
      <c r="P101" s="353"/>
      <c r="Q101" s="156"/>
      <c r="R101" s="108"/>
      <c r="S101" s="108"/>
      <c r="T101" s="108"/>
      <c r="U101" s="108"/>
      <c r="V101" s="108"/>
    </row>
    <row r="102" spans="1:22" outlineLevel="1">
      <c r="A102" s="520"/>
      <c r="B102" s="520" t="s">
        <v>195</v>
      </c>
      <c r="C102" s="520"/>
      <c r="D102" s="520"/>
      <c r="E102" s="71"/>
      <c r="F102" s="520"/>
      <c r="G102" s="520"/>
      <c r="H102" s="520"/>
      <c r="I102" s="520"/>
      <c r="J102" s="520"/>
      <c r="K102" s="520"/>
      <c r="L102" s="520"/>
      <c r="M102" s="520"/>
      <c r="N102" s="520"/>
      <c r="O102" s="520"/>
      <c r="P102" s="681"/>
      <c r="Q102" s="156"/>
      <c r="R102" s="108"/>
      <c r="S102" s="108"/>
      <c r="T102" s="108"/>
      <c r="U102" s="108"/>
      <c r="V102" s="108"/>
    </row>
    <row r="103" spans="1:22" outlineLevel="1">
      <c r="A103" s="221" t="str">
        <f t="array" aca="1" ref="A103" ca="1">HYPERLINK(CELL("адрес",Исходные!A28),"источник")</f>
        <v>источник</v>
      </c>
      <c r="B103" s="173" t="s">
        <v>189</v>
      </c>
      <c r="C103" s="238" t="s">
        <v>19</v>
      </c>
      <c r="D103" s="242">
        <f>SUM(F103:O103)</f>
        <v>0</v>
      </c>
      <c r="E103" s="71"/>
      <c r="F103" s="225">
        <f>Исходные!F28</f>
        <v>0</v>
      </c>
      <c r="G103" s="225">
        <f>Исходные!G28</f>
        <v>0</v>
      </c>
      <c r="H103" s="225">
        <f>Исходные!H28</f>
        <v>0</v>
      </c>
      <c r="I103" s="225">
        <f>Исходные!I28</f>
        <v>0</v>
      </c>
      <c r="J103" s="225">
        <f>Исходные!J28</f>
        <v>0</v>
      </c>
      <c r="K103" s="225">
        <f>Исходные!K28</f>
        <v>0</v>
      </c>
      <c r="L103" s="225">
        <f>Исходные!L28</f>
        <v>0</v>
      </c>
      <c r="M103" s="225">
        <f>Исходные!M28</f>
        <v>0</v>
      </c>
      <c r="N103" s="225">
        <f>Исходные!N28</f>
        <v>0</v>
      </c>
      <c r="O103" s="225">
        <f>Исходные!O28</f>
        <v>0</v>
      </c>
      <c r="P103" s="349"/>
      <c r="Q103" s="156"/>
      <c r="R103" s="108"/>
      <c r="S103" s="108"/>
      <c r="T103" s="108"/>
      <c r="U103" s="108"/>
      <c r="V103" s="108"/>
    </row>
    <row r="104" spans="1:22" outlineLevel="1">
      <c r="A104" s="146"/>
      <c r="B104" s="173" t="s">
        <v>132</v>
      </c>
      <c r="C104" s="238" t="s">
        <v>19</v>
      </c>
      <c r="D104" s="242">
        <f>SUM(F104:O104)</f>
        <v>0</v>
      </c>
      <c r="E104" s="71"/>
      <c r="F104" s="226">
        <f>F103/(1+Макро!F31)*Макро!F31</f>
        <v>0</v>
      </c>
      <c r="G104" s="226">
        <f>G103/(1+Макро!G31)*Макро!G31</f>
        <v>0</v>
      </c>
      <c r="H104" s="226">
        <f>H103/(1+Макро!H31)*Макро!H31</f>
        <v>0</v>
      </c>
      <c r="I104" s="226">
        <f>I103/(1+Макро!I31)*Макро!I31</f>
        <v>0</v>
      </c>
      <c r="J104" s="226">
        <f>J103/(1+Макро!J31)*Макро!J31</f>
        <v>0</v>
      </c>
      <c r="K104" s="226">
        <f>K103/(1+Макро!K31)*Макро!K31</f>
        <v>0</v>
      </c>
      <c r="L104" s="226">
        <f>L103/(1+Макро!L31)*Макро!L31</f>
        <v>0</v>
      </c>
      <c r="M104" s="226">
        <f>M103/(1+Макро!M31)*Макро!M31</f>
        <v>0</v>
      </c>
      <c r="N104" s="226">
        <f>N103/(1+Макро!N31)*Макро!N31</f>
        <v>0</v>
      </c>
      <c r="O104" s="226">
        <f>O103/(1+Макро!O31)*Макро!O31</f>
        <v>0</v>
      </c>
      <c r="P104" s="353"/>
      <c r="Q104" s="156"/>
      <c r="R104" s="108"/>
      <c r="S104" s="108"/>
      <c r="T104" s="108"/>
      <c r="U104" s="108"/>
      <c r="V104" s="108"/>
    </row>
    <row r="105" spans="1:22" ht="30" outlineLevel="1">
      <c r="A105" s="146"/>
      <c r="B105" s="173" t="s">
        <v>468</v>
      </c>
      <c r="C105" s="238" t="s">
        <v>19</v>
      </c>
      <c r="D105" s="242">
        <f>SUM(F105:O105)</f>
        <v>0</v>
      </c>
      <c r="E105" s="71"/>
      <c r="F105" s="226">
        <f t="shared" ref="F105:O105" si="41">F103-F104</f>
        <v>0</v>
      </c>
      <c r="G105" s="226">
        <f t="shared" si="41"/>
        <v>0</v>
      </c>
      <c r="H105" s="226">
        <f t="shared" si="41"/>
        <v>0</v>
      </c>
      <c r="I105" s="226">
        <f t="shared" si="41"/>
        <v>0</v>
      </c>
      <c r="J105" s="226">
        <f t="shared" si="41"/>
        <v>0</v>
      </c>
      <c r="K105" s="226">
        <f t="shared" si="41"/>
        <v>0</v>
      </c>
      <c r="L105" s="226">
        <f t="shared" si="41"/>
        <v>0</v>
      </c>
      <c r="M105" s="226">
        <f t="shared" si="41"/>
        <v>0</v>
      </c>
      <c r="N105" s="226">
        <f t="shared" si="41"/>
        <v>0</v>
      </c>
      <c r="O105" s="226">
        <f t="shared" si="41"/>
        <v>0</v>
      </c>
      <c r="P105" s="353"/>
      <c r="Q105" s="156"/>
      <c r="R105" s="108"/>
      <c r="S105" s="108"/>
      <c r="T105" s="108"/>
      <c r="U105" s="108"/>
      <c r="V105" s="108"/>
    </row>
    <row r="106" spans="1:22" ht="30" outlineLevel="1">
      <c r="A106" s="146"/>
      <c r="B106" s="173" t="s">
        <v>130</v>
      </c>
      <c r="C106" s="238" t="s">
        <v>131</v>
      </c>
      <c r="D106" s="753">
        <v>5</v>
      </c>
      <c r="E106" s="71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71"/>
      <c r="Q106" s="156"/>
      <c r="R106" s="108"/>
      <c r="S106" s="108"/>
      <c r="T106" s="108"/>
      <c r="U106" s="108"/>
      <c r="V106" s="108"/>
    </row>
    <row r="107" spans="1:22" outlineLevel="1">
      <c r="A107" s="146"/>
      <c r="B107" s="173" t="s">
        <v>101</v>
      </c>
      <c r="C107" s="238" t="s">
        <v>19</v>
      </c>
      <c r="D107" s="242">
        <f>SUM(F107:O107)</f>
        <v>0</v>
      </c>
      <c r="E107" s="71"/>
      <c r="F107" s="146"/>
      <c r="G107" s="226"/>
      <c r="H107" s="226">
        <f>IF(H108&gt;=0,$D$105/$D$106,0)</f>
        <v>0</v>
      </c>
      <c r="I107" s="226">
        <f>IF(I108&gt;=0,$D$105/$D$106,0)</f>
        <v>0</v>
      </c>
      <c r="J107" s="226">
        <f>IF(J108&gt;=0,$D$105/$D$106,0)</f>
        <v>0</v>
      </c>
      <c r="K107" s="226">
        <f>IF(K108&gt;=0,$D$105/$D$106,0)</f>
        <v>0</v>
      </c>
      <c r="L107" s="226">
        <f>IF(L108&gt;=0,$D$105/$D$106,0)</f>
        <v>0</v>
      </c>
      <c r="M107" s="226">
        <f>IF(M108&gt;=0,$D$60/$D$61,0)</f>
        <v>0</v>
      </c>
      <c r="N107" s="226">
        <f>IF(N108&gt;=0,$D$60/$D$61,0)</f>
        <v>0</v>
      </c>
      <c r="O107" s="226">
        <f>IF(O108&gt;=0,$D$60/$D$61,0)</f>
        <v>0</v>
      </c>
      <c r="P107" s="353"/>
      <c r="Q107" s="156"/>
      <c r="R107" s="108"/>
      <c r="S107" s="108"/>
      <c r="T107" s="108"/>
      <c r="U107" s="108"/>
      <c r="V107" s="108"/>
    </row>
    <row r="108" spans="1:22" outlineLevel="1">
      <c r="A108" s="146"/>
      <c r="B108" s="525" t="s">
        <v>136</v>
      </c>
      <c r="C108" s="238"/>
      <c r="D108" s="659"/>
      <c r="E108" s="71"/>
      <c r="F108" s="146"/>
      <c r="G108" s="416"/>
      <c r="H108" s="824">
        <f>D106</f>
        <v>5</v>
      </c>
      <c r="I108" s="416">
        <f t="shared" ref="I108:M108" si="42">H108-1</f>
        <v>4</v>
      </c>
      <c r="J108" s="416">
        <f t="shared" si="42"/>
        <v>3</v>
      </c>
      <c r="K108" s="416">
        <f t="shared" si="42"/>
        <v>2</v>
      </c>
      <c r="L108" s="416">
        <f t="shared" si="42"/>
        <v>1</v>
      </c>
      <c r="M108" s="416">
        <f t="shared" si="42"/>
        <v>0</v>
      </c>
      <c r="N108" s="416"/>
      <c r="O108" s="416"/>
      <c r="P108" s="416"/>
      <c r="Q108" s="156"/>
      <c r="R108" s="108"/>
      <c r="S108" s="108"/>
      <c r="T108" s="108"/>
      <c r="U108" s="108"/>
      <c r="V108" s="108"/>
    </row>
    <row r="109" spans="1:22" outlineLevel="1">
      <c r="A109" s="521"/>
      <c r="B109" s="526" t="s">
        <v>190</v>
      </c>
      <c r="C109" s="660" t="s">
        <v>19</v>
      </c>
      <c r="D109" s="521"/>
      <c r="E109" s="71"/>
      <c r="F109" s="516">
        <f>F105</f>
        <v>0</v>
      </c>
      <c r="G109" s="516">
        <f>D105</f>
        <v>0</v>
      </c>
      <c r="H109" s="516">
        <f t="shared" ref="H109:L109" si="43">G109-H107</f>
        <v>0</v>
      </c>
      <c r="I109" s="516">
        <f t="shared" si="43"/>
        <v>0</v>
      </c>
      <c r="J109" s="516">
        <f t="shared" si="43"/>
        <v>0</v>
      </c>
      <c r="K109" s="516">
        <f t="shared" si="43"/>
        <v>0</v>
      </c>
      <c r="L109" s="516">
        <f t="shared" si="43"/>
        <v>0</v>
      </c>
      <c r="M109" s="516"/>
      <c r="N109" s="516"/>
      <c r="O109" s="516"/>
      <c r="P109" s="353"/>
      <c r="Q109" s="156"/>
      <c r="R109" s="108"/>
      <c r="S109" s="108"/>
      <c r="T109" s="108"/>
      <c r="U109" s="108"/>
      <c r="V109" s="108"/>
    </row>
    <row r="110" spans="1:22" outlineLevel="1">
      <c r="A110" s="133"/>
      <c r="B110" s="177"/>
      <c r="C110" s="416"/>
      <c r="D110" s="133"/>
      <c r="E110" s="71"/>
      <c r="F110" s="133"/>
      <c r="G110" s="352"/>
      <c r="H110" s="352"/>
      <c r="I110" s="352"/>
      <c r="J110" s="352"/>
      <c r="K110" s="352"/>
      <c r="L110" s="352"/>
      <c r="M110" s="352"/>
      <c r="N110" s="352"/>
      <c r="O110" s="352"/>
      <c r="P110" s="353"/>
      <c r="Q110" s="156"/>
      <c r="R110" s="108"/>
      <c r="S110" s="108"/>
      <c r="T110" s="108"/>
      <c r="U110" s="108"/>
      <c r="V110" s="108"/>
    </row>
    <row r="111" spans="1:22" outlineLevel="1">
      <c r="A111" s="520"/>
      <c r="B111" s="520" t="s">
        <v>196</v>
      </c>
      <c r="C111" s="520"/>
      <c r="D111" s="520"/>
      <c r="E111" s="71"/>
      <c r="F111" s="520"/>
      <c r="G111" s="520"/>
      <c r="H111" s="520"/>
      <c r="I111" s="520"/>
      <c r="J111" s="520"/>
      <c r="K111" s="520"/>
      <c r="L111" s="520"/>
      <c r="M111" s="520"/>
      <c r="N111" s="520"/>
      <c r="O111" s="520"/>
      <c r="P111" s="681"/>
      <c r="Q111" s="156"/>
      <c r="R111" s="108"/>
      <c r="S111" s="108"/>
      <c r="T111" s="108"/>
      <c r="U111" s="108"/>
      <c r="V111" s="108"/>
    </row>
    <row r="112" spans="1:22" outlineLevel="1">
      <c r="A112" s="221" t="str">
        <f t="array" aca="1" ref="A112" ca="1">HYPERLINK(CELL("адрес",Исходные!A29),"источник")</f>
        <v>источник</v>
      </c>
      <c r="B112" s="173" t="s">
        <v>189</v>
      </c>
      <c r="C112" s="238" t="s">
        <v>19</v>
      </c>
      <c r="D112" s="242">
        <f>SUM(F112:O112)</f>
        <v>0</v>
      </c>
      <c r="E112" s="71"/>
      <c r="F112" s="225">
        <f>Исходные!F29</f>
        <v>0</v>
      </c>
      <c r="G112" s="225">
        <f>Исходные!G29</f>
        <v>0</v>
      </c>
      <c r="H112" s="225">
        <f>Исходные!H29</f>
        <v>0</v>
      </c>
      <c r="I112" s="225">
        <f>Исходные!I29</f>
        <v>0</v>
      </c>
      <c r="J112" s="225">
        <f>Исходные!J29</f>
        <v>0</v>
      </c>
      <c r="K112" s="225">
        <f>Исходные!K29</f>
        <v>0</v>
      </c>
      <c r="L112" s="225">
        <f>Исходные!L29</f>
        <v>0</v>
      </c>
      <c r="M112" s="225">
        <f>Исходные!M29</f>
        <v>0</v>
      </c>
      <c r="N112" s="225">
        <f>Исходные!N29</f>
        <v>0</v>
      </c>
      <c r="O112" s="225">
        <f>Исходные!O29</f>
        <v>0</v>
      </c>
      <c r="P112" s="349"/>
      <c r="Q112" s="156"/>
      <c r="R112" s="108"/>
      <c r="S112" s="108"/>
      <c r="T112" s="108"/>
      <c r="U112" s="108"/>
      <c r="V112" s="108"/>
    </row>
    <row r="113" spans="1:22" outlineLevel="1">
      <c r="A113" s="146"/>
      <c r="B113" s="173" t="s">
        <v>132</v>
      </c>
      <c r="C113" s="238" t="s">
        <v>19</v>
      </c>
      <c r="D113" s="242">
        <f>SUM(F113:O113)</f>
        <v>0</v>
      </c>
      <c r="E113" s="71"/>
      <c r="F113" s="226">
        <f>F112/(1+Макро!F31)*Макро!F31</f>
        <v>0</v>
      </c>
      <c r="G113" s="226">
        <f>G112/(1+Макро!G31)*Макро!G31</f>
        <v>0</v>
      </c>
      <c r="H113" s="226">
        <f>H112/(1+Макро!H31)*Макро!H31</f>
        <v>0</v>
      </c>
      <c r="I113" s="226">
        <f>I112/(1+Макро!I31)*Макро!I31</f>
        <v>0</v>
      </c>
      <c r="J113" s="226">
        <f>J112/(1+Макро!J31)*Макро!J31</f>
        <v>0</v>
      </c>
      <c r="K113" s="226">
        <f>K112/(1+Макро!K31)*Макро!K31</f>
        <v>0</v>
      </c>
      <c r="L113" s="226">
        <f>L112/(1+Макро!L31)*Макро!L31</f>
        <v>0</v>
      </c>
      <c r="M113" s="226">
        <f>M112/(1+Макро!M31)*Макро!M31</f>
        <v>0</v>
      </c>
      <c r="N113" s="226">
        <f>N112/(1+Макро!N31)*Макро!N31</f>
        <v>0</v>
      </c>
      <c r="O113" s="226">
        <f>O112/(1+Макро!O31)*Макро!O31</f>
        <v>0</v>
      </c>
      <c r="P113" s="353"/>
      <c r="Q113" s="156"/>
      <c r="R113" s="108"/>
      <c r="S113" s="108"/>
      <c r="T113" s="108"/>
      <c r="U113" s="108"/>
      <c r="V113" s="108"/>
    </row>
    <row r="114" spans="1:22" ht="30" outlineLevel="1">
      <c r="A114" s="146"/>
      <c r="B114" s="173" t="s">
        <v>468</v>
      </c>
      <c r="C114" s="238" t="s">
        <v>19</v>
      </c>
      <c r="D114" s="242">
        <f>SUM(F114:O114)</f>
        <v>0</v>
      </c>
      <c r="E114" s="71"/>
      <c r="F114" s="226">
        <f t="shared" ref="F114:O114" si="44">F112-F113</f>
        <v>0</v>
      </c>
      <c r="G114" s="226">
        <f t="shared" si="44"/>
        <v>0</v>
      </c>
      <c r="H114" s="226">
        <f t="shared" si="44"/>
        <v>0</v>
      </c>
      <c r="I114" s="226">
        <f t="shared" si="44"/>
        <v>0</v>
      </c>
      <c r="J114" s="226">
        <f t="shared" si="44"/>
        <v>0</v>
      </c>
      <c r="K114" s="226">
        <f t="shared" si="44"/>
        <v>0</v>
      </c>
      <c r="L114" s="226">
        <f t="shared" si="44"/>
        <v>0</v>
      </c>
      <c r="M114" s="226">
        <f t="shared" si="44"/>
        <v>0</v>
      </c>
      <c r="N114" s="226">
        <f t="shared" si="44"/>
        <v>0</v>
      </c>
      <c r="O114" s="226">
        <f t="shared" si="44"/>
        <v>0</v>
      </c>
      <c r="P114" s="353"/>
      <c r="Q114" s="156"/>
      <c r="R114" s="108"/>
      <c r="S114" s="108"/>
      <c r="T114" s="108"/>
      <c r="U114" s="108"/>
      <c r="V114" s="108"/>
    </row>
    <row r="115" spans="1:22" ht="30" outlineLevel="1">
      <c r="A115" s="146"/>
      <c r="B115" s="173" t="s">
        <v>130</v>
      </c>
      <c r="C115" s="238" t="s">
        <v>131</v>
      </c>
      <c r="D115" s="753">
        <v>5</v>
      </c>
      <c r="E115" s="71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71"/>
      <c r="Q115" s="156"/>
      <c r="R115" s="108"/>
      <c r="S115" s="108"/>
      <c r="T115" s="108"/>
      <c r="U115" s="108"/>
      <c r="V115" s="108"/>
    </row>
    <row r="116" spans="1:22" outlineLevel="1">
      <c r="A116" s="146"/>
      <c r="B116" s="173" t="s">
        <v>101</v>
      </c>
      <c r="C116" s="238" t="s">
        <v>19</v>
      </c>
      <c r="D116" s="242">
        <f>SUM(F116:O116)</f>
        <v>0</v>
      </c>
      <c r="E116" s="71"/>
      <c r="F116" s="146"/>
      <c r="G116" s="226"/>
      <c r="H116" s="226">
        <f>IF(H117&gt;=0,$D$60/$D$61,0)</f>
        <v>0</v>
      </c>
      <c r="I116" s="226">
        <f>IF(I117&gt;=0,$D$114/$D$115,0)</f>
        <v>0</v>
      </c>
      <c r="J116" s="226">
        <f>IF(J117&gt;=0,$D$114/$D$115,0)</f>
        <v>0</v>
      </c>
      <c r="K116" s="226">
        <f>IF(K117&gt;=0,$D$114/$D$115,0)</f>
        <v>0</v>
      </c>
      <c r="L116" s="226">
        <f>IF(L117&gt;=0,$D$114/$D$115,0)</f>
        <v>0</v>
      </c>
      <c r="M116" s="226">
        <f>IF(M117&gt;=0,$D$114/$D$115,0)</f>
        <v>0</v>
      </c>
      <c r="N116" s="226">
        <f>IF(N117&gt;=0,$D$60/$D$61,0)</f>
        <v>0</v>
      </c>
      <c r="O116" s="226">
        <f>IF(O117&gt;=0,$D$60/$D$61,0)</f>
        <v>0</v>
      </c>
      <c r="P116" s="353"/>
      <c r="Q116" s="156"/>
      <c r="R116" s="108"/>
      <c r="S116" s="108"/>
      <c r="T116" s="108"/>
      <c r="U116" s="108"/>
      <c r="V116" s="108"/>
    </row>
    <row r="117" spans="1:22" outlineLevel="1">
      <c r="A117" s="146"/>
      <c r="B117" s="525" t="s">
        <v>136</v>
      </c>
      <c r="C117" s="238"/>
      <c r="D117" s="659"/>
      <c r="E117" s="71"/>
      <c r="F117" s="146"/>
      <c r="G117" s="416"/>
      <c r="H117" s="416"/>
      <c r="I117" s="824">
        <f>D115</f>
        <v>5</v>
      </c>
      <c r="J117" s="416">
        <f t="shared" ref="J117:M117" si="45">I117-1</f>
        <v>4</v>
      </c>
      <c r="K117" s="416">
        <f t="shared" si="45"/>
        <v>3</v>
      </c>
      <c r="L117" s="416">
        <f t="shared" si="45"/>
        <v>2</v>
      </c>
      <c r="M117" s="416">
        <f t="shared" si="45"/>
        <v>1</v>
      </c>
      <c r="N117" s="416"/>
      <c r="O117" s="416"/>
      <c r="P117" s="416"/>
      <c r="Q117" s="156"/>
      <c r="R117" s="108"/>
      <c r="S117" s="108"/>
      <c r="T117" s="108"/>
      <c r="U117" s="108"/>
      <c r="V117" s="108"/>
    </row>
    <row r="118" spans="1:22" outlineLevel="1">
      <c r="A118" s="521"/>
      <c r="B118" s="526" t="s">
        <v>190</v>
      </c>
      <c r="C118" s="660" t="s">
        <v>19</v>
      </c>
      <c r="D118" s="521"/>
      <c r="E118" s="71"/>
      <c r="F118" s="516">
        <f>F114</f>
        <v>0</v>
      </c>
      <c r="G118" s="516">
        <f>F118+G114</f>
        <v>0</v>
      </c>
      <c r="H118" s="516">
        <f>D114</f>
        <v>0</v>
      </c>
      <c r="I118" s="516">
        <f>H118-I116</f>
        <v>0</v>
      </c>
      <c r="J118" s="516">
        <f>I118-J116</f>
        <v>0</v>
      </c>
      <c r="K118" s="516">
        <f>J118-K116</f>
        <v>0</v>
      </c>
      <c r="L118" s="516">
        <f>K118-L116</f>
        <v>0</v>
      </c>
      <c r="M118" s="516">
        <f>L118-M116</f>
        <v>0</v>
      </c>
      <c r="N118" s="516"/>
      <c r="O118" s="516"/>
      <c r="P118" s="353"/>
      <c r="Q118" s="156"/>
      <c r="R118" s="108"/>
      <c r="S118" s="108"/>
      <c r="T118" s="108"/>
      <c r="U118" s="108"/>
      <c r="V118" s="108"/>
    </row>
    <row r="119" spans="1:22" outlineLevel="1">
      <c r="A119" s="133"/>
      <c r="B119" s="177"/>
      <c r="C119" s="416"/>
      <c r="D119" s="133"/>
      <c r="E119" s="71"/>
      <c r="F119" s="133"/>
      <c r="G119" s="352"/>
      <c r="H119" s="352"/>
      <c r="I119" s="352"/>
      <c r="J119" s="352"/>
      <c r="K119" s="352"/>
      <c r="L119" s="352"/>
      <c r="M119" s="352"/>
      <c r="N119" s="352"/>
      <c r="O119" s="352"/>
      <c r="P119" s="353"/>
      <c r="Q119" s="156"/>
      <c r="R119" s="108"/>
      <c r="S119" s="108"/>
      <c r="T119" s="108"/>
      <c r="U119" s="108"/>
      <c r="V119" s="108"/>
    </row>
    <row r="120" spans="1:22" outlineLevel="1">
      <c r="A120" s="520"/>
      <c r="B120" s="520" t="s">
        <v>197</v>
      </c>
      <c r="C120" s="520"/>
      <c r="D120" s="520"/>
      <c r="E120" s="71"/>
      <c r="F120" s="520"/>
      <c r="G120" s="520"/>
      <c r="H120" s="520"/>
      <c r="I120" s="520"/>
      <c r="J120" s="520"/>
      <c r="K120" s="520"/>
      <c r="L120" s="520"/>
      <c r="M120" s="520"/>
      <c r="N120" s="520"/>
      <c r="O120" s="520"/>
      <c r="P120" s="681"/>
      <c r="Q120" s="156"/>
      <c r="R120" s="108"/>
      <c r="S120" s="108"/>
      <c r="T120" s="108"/>
      <c r="U120" s="108"/>
      <c r="V120" s="108"/>
    </row>
    <row r="121" spans="1:22" outlineLevel="1">
      <c r="A121" s="221" t="str">
        <f t="array" aca="1" ref="A121" ca="1">HYPERLINK(CELL("адрес",Исходные!A30),"источник")</f>
        <v>источник</v>
      </c>
      <c r="B121" s="173" t="s">
        <v>189</v>
      </c>
      <c r="C121" s="238" t="s">
        <v>19</v>
      </c>
      <c r="D121" s="242">
        <f>SUM(F121:O121)</f>
        <v>0</v>
      </c>
      <c r="E121" s="71"/>
      <c r="F121" s="225">
        <f>Исходные!F30</f>
        <v>0</v>
      </c>
      <c r="G121" s="225">
        <f>Исходные!G30</f>
        <v>0</v>
      </c>
      <c r="H121" s="225">
        <f>Исходные!H30</f>
        <v>0</v>
      </c>
      <c r="I121" s="225">
        <f>Исходные!I30</f>
        <v>0</v>
      </c>
      <c r="J121" s="225">
        <f>Исходные!J30</f>
        <v>0</v>
      </c>
      <c r="K121" s="225">
        <f>Исходные!K30</f>
        <v>0</v>
      </c>
      <c r="L121" s="225">
        <f>Исходные!L30</f>
        <v>0</v>
      </c>
      <c r="M121" s="225">
        <f>Исходные!M30</f>
        <v>0</v>
      </c>
      <c r="N121" s="225">
        <f>Исходные!N30</f>
        <v>0</v>
      </c>
      <c r="O121" s="225">
        <f>Исходные!O30</f>
        <v>0</v>
      </c>
      <c r="P121" s="349"/>
      <c r="Q121" s="156"/>
      <c r="R121" s="108"/>
      <c r="S121" s="108"/>
      <c r="T121" s="108"/>
      <c r="U121" s="108"/>
      <c r="V121" s="108"/>
    </row>
    <row r="122" spans="1:22" outlineLevel="1">
      <c r="A122" s="146"/>
      <c r="B122" s="173" t="s">
        <v>132</v>
      </c>
      <c r="C122" s="238" t="s">
        <v>19</v>
      </c>
      <c r="D122" s="242">
        <f>SUM(F122:O122)</f>
        <v>0</v>
      </c>
      <c r="E122" s="71"/>
      <c r="F122" s="226">
        <f>F121/(1+Макро!F31)*Макро!F31</f>
        <v>0</v>
      </c>
      <c r="G122" s="226">
        <f>G121/(1+Макро!G31)*Макро!G31</f>
        <v>0</v>
      </c>
      <c r="H122" s="226">
        <f>H121/(1+Макро!H31)*Макро!H31</f>
        <v>0</v>
      </c>
      <c r="I122" s="226">
        <f>I121/(1+Макро!I31)*Макро!I31</f>
        <v>0</v>
      </c>
      <c r="J122" s="226">
        <f>J121/(1+Макро!J31)*Макро!J31</f>
        <v>0</v>
      </c>
      <c r="K122" s="226">
        <f>K121/(1+Макро!K31)*Макро!K31</f>
        <v>0</v>
      </c>
      <c r="L122" s="226">
        <f>L121/(1+Макро!L31)*Макро!L31</f>
        <v>0</v>
      </c>
      <c r="M122" s="226">
        <f>M121/(1+Макро!M31)*Макро!M31</f>
        <v>0</v>
      </c>
      <c r="N122" s="226">
        <f>N121/(1+Макро!N31)*Макро!N31</f>
        <v>0</v>
      </c>
      <c r="O122" s="226">
        <f>O121/(1+Макро!O31)*Макро!O31</f>
        <v>0</v>
      </c>
      <c r="P122" s="353"/>
      <c r="Q122" s="156"/>
      <c r="R122" s="108"/>
      <c r="S122" s="108"/>
      <c r="T122" s="108"/>
      <c r="U122" s="108"/>
      <c r="V122" s="108"/>
    </row>
    <row r="123" spans="1:22" ht="30" outlineLevel="1">
      <c r="A123" s="146"/>
      <c r="B123" s="173" t="s">
        <v>468</v>
      </c>
      <c r="C123" s="238" t="s">
        <v>19</v>
      </c>
      <c r="D123" s="242">
        <f>SUM(F123:O123)</f>
        <v>0</v>
      </c>
      <c r="E123" s="71"/>
      <c r="F123" s="226">
        <f t="shared" ref="F123:O123" si="46">F121-F122</f>
        <v>0</v>
      </c>
      <c r="G123" s="226">
        <f t="shared" si="46"/>
        <v>0</v>
      </c>
      <c r="H123" s="226">
        <f t="shared" si="46"/>
        <v>0</v>
      </c>
      <c r="I123" s="226">
        <f t="shared" si="46"/>
        <v>0</v>
      </c>
      <c r="J123" s="226">
        <f t="shared" si="46"/>
        <v>0</v>
      </c>
      <c r="K123" s="226">
        <f t="shared" si="46"/>
        <v>0</v>
      </c>
      <c r="L123" s="226">
        <f t="shared" si="46"/>
        <v>0</v>
      </c>
      <c r="M123" s="226">
        <f t="shared" si="46"/>
        <v>0</v>
      </c>
      <c r="N123" s="226">
        <f t="shared" si="46"/>
        <v>0</v>
      </c>
      <c r="O123" s="226">
        <f t="shared" si="46"/>
        <v>0</v>
      </c>
      <c r="P123" s="353"/>
      <c r="Q123" s="156"/>
      <c r="R123" s="108"/>
      <c r="S123" s="108"/>
      <c r="T123" s="108"/>
      <c r="U123" s="108"/>
      <c r="V123" s="108"/>
    </row>
    <row r="124" spans="1:22" ht="30" outlineLevel="1">
      <c r="A124" s="146"/>
      <c r="B124" s="173" t="s">
        <v>130</v>
      </c>
      <c r="C124" s="238" t="s">
        <v>131</v>
      </c>
      <c r="D124" s="753"/>
      <c r="E124" s="71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71"/>
      <c r="Q124" s="156"/>
      <c r="R124" s="108"/>
      <c r="S124" s="108"/>
      <c r="T124" s="108"/>
      <c r="U124" s="108"/>
      <c r="V124" s="108"/>
    </row>
    <row r="125" spans="1:22" outlineLevel="1">
      <c r="A125" s="146"/>
      <c r="B125" s="173" t="s">
        <v>101</v>
      </c>
      <c r="C125" s="238" t="s">
        <v>19</v>
      </c>
      <c r="D125" s="242">
        <f>SUM(F125:O125)</f>
        <v>0</v>
      </c>
      <c r="E125" s="71"/>
      <c r="F125" s="146"/>
      <c r="G125" s="226"/>
      <c r="H125" s="226">
        <f t="shared" ref="H125:O125" si="47">IF(H126&gt;=0,$D$60/$D$61,0)</f>
        <v>0</v>
      </c>
      <c r="I125" s="226">
        <f t="shared" si="47"/>
        <v>0</v>
      </c>
      <c r="J125" s="226">
        <f t="shared" si="47"/>
        <v>0</v>
      </c>
      <c r="K125" s="226">
        <f t="shared" si="47"/>
        <v>0</v>
      </c>
      <c r="L125" s="226">
        <f t="shared" si="47"/>
        <v>0</v>
      </c>
      <c r="M125" s="226">
        <f t="shared" si="47"/>
        <v>0</v>
      </c>
      <c r="N125" s="226">
        <f t="shared" si="47"/>
        <v>0</v>
      </c>
      <c r="O125" s="226">
        <f t="shared" si="47"/>
        <v>0</v>
      </c>
      <c r="P125" s="353"/>
      <c r="Q125" s="156"/>
      <c r="R125" s="108"/>
      <c r="S125" s="108"/>
      <c r="T125" s="108"/>
      <c r="U125" s="108"/>
      <c r="V125" s="108"/>
    </row>
    <row r="126" spans="1:22" outlineLevel="1">
      <c r="A126" s="146"/>
      <c r="B126" s="525" t="s">
        <v>136</v>
      </c>
      <c r="C126" s="238"/>
      <c r="D126" s="659"/>
      <c r="E126" s="71"/>
      <c r="F126" s="146"/>
      <c r="G126" s="416">
        <f>D124</f>
        <v>0</v>
      </c>
      <c r="H126" s="416">
        <f t="shared" ref="H126:O126" si="48">G126-1</f>
        <v>-1</v>
      </c>
      <c r="I126" s="416">
        <f t="shared" si="48"/>
        <v>-2</v>
      </c>
      <c r="J126" s="416">
        <f t="shared" si="48"/>
        <v>-3</v>
      </c>
      <c r="K126" s="416">
        <f t="shared" si="48"/>
        <v>-4</v>
      </c>
      <c r="L126" s="416">
        <f t="shared" si="48"/>
        <v>-5</v>
      </c>
      <c r="M126" s="416">
        <f t="shared" si="48"/>
        <v>-6</v>
      </c>
      <c r="N126" s="416">
        <f t="shared" si="48"/>
        <v>-7</v>
      </c>
      <c r="O126" s="416">
        <f t="shared" si="48"/>
        <v>-8</v>
      </c>
      <c r="P126" s="416"/>
      <c r="Q126" s="156"/>
      <c r="R126" s="108"/>
      <c r="S126" s="108"/>
      <c r="T126" s="108"/>
      <c r="U126" s="108"/>
      <c r="V126" s="108"/>
    </row>
    <row r="127" spans="1:22" outlineLevel="1">
      <c r="A127" s="521"/>
      <c r="B127" s="526" t="s">
        <v>190</v>
      </c>
      <c r="C127" s="660" t="s">
        <v>19</v>
      </c>
      <c r="D127" s="521"/>
      <c r="E127" s="71"/>
      <c r="F127" s="516">
        <f>F123</f>
        <v>0</v>
      </c>
      <c r="G127" s="516">
        <f>F127+G123</f>
        <v>0</v>
      </c>
      <c r="H127" s="516">
        <f t="shared" ref="H127:O127" si="49">G127-H125</f>
        <v>0</v>
      </c>
      <c r="I127" s="516">
        <f t="shared" si="49"/>
        <v>0</v>
      </c>
      <c r="J127" s="516">
        <f t="shared" si="49"/>
        <v>0</v>
      </c>
      <c r="K127" s="516">
        <f t="shared" si="49"/>
        <v>0</v>
      </c>
      <c r="L127" s="516">
        <f t="shared" si="49"/>
        <v>0</v>
      </c>
      <c r="M127" s="516">
        <f t="shared" si="49"/>
        <v>0</v>
      </c>
      <c r="N127" s="516">
        <f t="shared" si="49"/>
        <v>0</v>
      </c>
      <c r="O127" s="516">
        <f t="shared" si="49"/>
        <v>0</v>
      </c>
      <c r="P127" s="353"/>
      <c r="Q127" s="156"/>
      <c r="R127" s="108"/>
      <c r="S127" s="108"/>
      <c r="T127" s="108"/>
      <c r="U127" s="108"/>
      <c r="V127" s="108"/>
    </row>
    <row r="128" spans="1:22" outlineLevel="1">
      <c r="A128" s="133"/>
      <c r="B128" s="177"/>
      <c r="C128" s="416"/>
      <c r="D128" s="133"/>
      <c r="E128" s="71"/>
      <c r="F128" s="133"/>
      <c r="G128" s="352"/>
      <c r="H128" s="352"/>
      <c r="I128" s="352"/>
      <c r="J128" s="352"/>
      <c r="K128" s="352"/>
      <c r="L128" s="352"/>
      <c r="M128" s="352"/>
      <c r="N128" s="352"/>
      <c r="O128" s="352"/>
      <c r="P128" s="353"/>
      <c r="Q128" s="156"/>
      <c r="R128" s="108"/>
      <c r="S128" s="108"/>
      <c r="T128" s="108"/>
      <c r="U128" s="108"/>
      <c r="V128" s="108"/>
    </row>
    <row r="129" spans="1:22" outlineLevel="1">
      <c r="A129" s="520"/>
      <c r="B129" s="520" t="s">
        <v>198</v>
      </c>
      <c r="C129" s="520"/>
      <c r="D129" s="520"/>
      <c r="E129" s="71"/>
      <c r="F129" s="520"/>
      <c r="G129" s="520"/>
      <c r="H129" s="520"/>
      <c r="I129" s="520"/>
      <c r="J129" s="520"/>
      <c r="K129" s="520"/>
      <c r="L129" s="520"/>
      <c r="M129" s="520"/>
      <c r="N129" s="520"/>
      <c r="O129" s="520"/>
      <c r="P129" s="681"/>
      <c r="Q129" s="156"/>
      <c r="R129" s="108"/>
      <c r="S129" s="108"/>
      <c r="T129" s="108"/>
      <c r="U129" s="108"/>
      <c r="V129" s="108"/>
    </row>
    <row r="130" spans="1:22" outlineLevel="1">
      <c r="A130" s="221" t="str">
        <f t="array" aca="1" ref="A130" ca="1">HYPERLINK(CELL("адрес",Исходные!A31),"источник")</f>
        <v>источник</v>
      </c>
      <c r="B130" s="173" t="s">
        <v>189</v>
      </c>
      <c r="C130" s="238" t="s">
        <v>19</v>
      </c>
      <c r="D130" s="242">
        <f>SUM(F130:O130)</f>
        <v>0</v>
      </c>
      <c r="E130" s="71"/>
      <c r="F130" s="225">
        <f>Исходные!F31</f>
        <v>0</v>
      </c>
      <c r="G130" s="225">
        <f>Исходные!G31</f>
        <v>0</v>
      </c>
      <c r="H130" s="225">
        <f>Исходные!H31</f>
        <v>0</v>
      </c>
      <c r="I130" s="225">
        <f>Исходные!I31</f>
        <v>0</v>
      </c>
      <c r="J130" s="225">
        <f>Исходные!J31</f>
        <v>0</v>
      </c>
      <c r="K130" s="225">
        <f>Исходные!K31</f>
        <v>0</v>
      </c>
      <c r="L130" s="225">
        <f>Исходные!L31</f>
        <v>0</v>
      </c>
      <c r="M130" s="225">
        <f>Исходные!M31</f>
        <v>0</v>
      </c>
      <c r="N130" s="225">
        <f>Исходные!N31</f>
        <v>0</v>
      </c>
      <c r="O130" s="225">
        <f>Исходные!O31</f>
        <v>0</v>
      </c>
      <c r="P130" s="349"/>
      <c r="Q130" s="156"/>
      <c r="R130" s="108"/>
      <c r="S130" s="108"/>
      <c r="T130" s="108"/>
      <c r="U130" s="108"/>
      <c r="V130" s="108"/>
    </row>
    <row r="131" spans="1:22" outlineLevel="1">
      <c r="A131" s="146"/>
      <c r="B131" s="173" t="s">
        <v>132</v>
      </c>
      <c r="C131" s="238" t="s">
        <v>19</v>
      </c>
      <c r="D131" s="242">
        <f>SUM(F131:O131)</f>
        <v>0</v>
      </c>
      <c r="E131" s="71"/>
      <c r="F131" s="226">
        <f>F130/(1+Макро!F31)*Макро!F31</f>
        <v>0</v>
      </c>
      <c r="G131" s="226">
        <f>G130/(1+Макро!G31)*Макро!G31</f>
        <v>0</v>
      </c>
      <c r="H131" s="226">
        <f>H130/(1+Макро!H31)*Макро!H31</f>
        <v>0</v>
      </c>
      <c r="I131" s="226">
        <f>I130/(1+Макро!I31)*Макро!I31</f>
        <v>0</v>
      </c>
      <c r="J131" s="226">
        <f>J130/(1+Макро!J31)*Макро!J31</f>
        <v>0</v>
      </c>
      <c r="K131" s="226">
        <f>K130/(1+Макро!K31)*Макро!K31</f>
        <v>0</v>
      </c>
      <c r="L131" s="226">
        <f>L130/(1+Макро!L31)*Макро!L31</f>
        <v>0</v>
      </c>
      <c r="M131" s="226">
        <f>M130/(1+Макро!M31)*Макро!M31</f>
        <v>0</v>
      </c>
      <c r="N131" s="226">
        <f>N130/(1+Макро!N31)*Макро!N31</f>
        <v>0</v>
      </c>
      <c r="O131" s="226">
        <f>O130/(1+Макро!O31)*Макро!O31</f>
        <v>0</v>
      </c>
      <c r="P131" s="353"/>
      <c r="Q131" s="156"/>
      <c r="R131" s="108"/>
      <c r="S131" s="108"/>
      <c r="T131" s="108"/>
      <c r="U131" s="108"/>
      <c r="V131" s="108"/>
    </row>
    <row r="132" spans="1:22" ht="30" outlineLevel="1">
      <c r="A132" s="146"/>
      <c r="B132" s="173" t="s">
        <v>468</v>
      </c>
      <c r="C132" s="238" t="s">
        <v>19</v>
      </c>
      <c r="D132" s="242">
        <f>SUM(F132:O132)</f>
        <v>0</v>
      </c>
      <c r="E132" s="71"/>
      <c r="F132" s="226">
        <f t="shared" ref="F132:O132" si="50">F130-F131</f>
        <v>0</v>
      </c>
      <c r="G132" s="226">
        <f t="shared" si="50"/>
        <v>0</v>
      </c>
      <c r="H132" s="226">
        <f t="shared" si="50"/>
        <v>0</v>
      </c>
      <c r="I132" s="226">
        <f t="shared" si="50"/>
        <v>0</v>
      </c>
      <c r="J132" s="226">
        <f t="shared" si="50"/>
        <v>0</v>
      </c>
      <c r="K132" s="226">
        <f t="shared" si="50"/>
        <v>0</v>
      </c>
      <c r="L132" s="226">
        <f t="shared" si="50"/>
        <v>0</v>
      </c>
      <c r="M132" s="226">
        <f t="shared" si="50"/>
        <v>0</v>
      </c>
      <c r="N132" s="226">
        <f t="shared" si="50"/>
        <v>0</v>
      </c>
      <c r="O132" s="226">
        <f t="shared" si="50"/>
        <v>0</v>
      </c>
      <c r="P132" s="353"/>
      <c r="Q132" s="156"/>
      <c r="R132" s="108"/>
      <c r="S132" s="108"/>
      <c r="T132" s="108"/>
      <c r="U132" s="108"/>
      <c r="V132" s="108"/>
    </row>
    <row r="133" spans="1:22" ht="30" outlineLevel="1">
      <c r="A133" s="146"/>
      <c r="B133" s="173" t="s">
        <v>130</v>
      </c>
      <c r="C133" s="238" t="s">
        <v>131</v>
      </c>
      <c r="D133" s="753"/>
      <c r="E133" s="71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71"/>
      <c r="Q133" s="156"/>
      <c r="R133" s="108"/>
      <c r="S133" s="108"/>
      <c r="T133" s="108"/>
      <c r="U133" s="108"/>
      <c r="V133" s="108"/>
    </row>
    <row r="134" spans="1:22" outlineLevel="1">
      <c r="A134" s="146"/>
      <c r="B134" s="173" t="s">
        <v>101</v>
      </c>
      <c r="C134" s="238" t="s">
        <v>19</v>
      </c>
      <c r="D134" s="242">
        <f>SUM(F134:O134)</f>
        <v>0</v>
      </c>
      <c r="E134" s="71"/>
      <c r="F134" s="146"/>
      <c r="G134" s="226"/>
      <c r="H134" s="226">
        <f t="shared" ref="H134:O134" si="51">IF(H135&gt;=0,$D$60/$D$61,0)</f>
        <v>0</v>
      </c>
      <c r="I134" s="226">
        <f t="shared" si="51"/>
        <v>0</v>
      </c>
      <c r="J134" s="226">
        <f t="shared" si="51"/>
        <v>0</v>
      </c>
      <c r="K134" s="226">
        <f t="shared" si="51"/>
        <v>0</v>
      </c>
      <c r="L134" s="226">
        <f t="shared" si="51"/>
        <v>0</v>
      </c>
      <c r="M134" s="226">
        <f t="shared" si="51"/>
        <v>0</v>
      </c>
      <c r="N134" s="226">
        <f t="shared" si="51"/>
        <v>0</v>
      </c>
      <c r="O134" s="226">
        <f t="shared" si="51"/>
        <v>0</v>
      </c>
      <c r="P134" s="353"/>
      <c r="Q134" s="156"/>
      <c r="R134" s="108"/>
      <c r="S134" s="108"/>
      <c r="T134" s="108"/>
      <c r="U134" s="108"/>
      <c r="V134" s="108"/>
    </row>
    <row r="135" spans="1:22" outlineLevel="1">
      <c r="A135" s="146"/>
      <c r="B135" s="525" t="s">
        <v>136</v>
      </c>
      <c r="C135" s="238"/>
      <c r="D135" s="659"/>
      <c r="E135" s="71"/>
      <c r="F135" s="146"/>
      <c r="G135" s="416">
        <f>D133</f>
        <v>0</v>
      </c>
      <c r="H135" s="416">
        <f t="shared" ref="H135:O135" si="52">G135-1</f>
        <v>-1</v>
      </c>
      <c r="I135" s="416">
        <f t="shared" si="52"/>
        <v>-2</v>
      </c>
      <c r="J135" s="416">
        <f t="shared" si="52"/>
        <v>-3</v>
      </c>
      <c r="K135" s="416">
        <f t="shared" si="52"/>
        <v>-4</v>
      </c>
      <c r="L135" s="416">
        <f t="shared" si="52"/>
        <v>-5</v>
      </c>
      <c r="M135" s="416">
        <f t="shared" si="52"/>
        <v>-6</v>
      </c>
      <c r="N135" s="416">
        <f t="shared" si="52"/>
        <v>-7</v>
      </c>
      <c r="O135" s="416">
        <f t="shared" si="52"/>
        <v>-8</v>
      </c>
      <c r="P135" s="416"/>
      <c r="Q135" s="156"/>
      <c r="R135" s="108"/>
      <c r="S135" s="108"/>
      <c r="T135" s="108"/>
      <c r="U135" s="108"/>
      <c r="V135" s="108"/>
    </row>
    <row r="136" spans="1:22" outlineLevel="1">
      <c r="A136" s="521"/>
      <c r="B136" s="526" t="s">
        <v>190</v>
      </c>
      <c r="C136" s="660" t="s">
        <v>19</v>
      </c>
      <c r="D136" s="521"/>
      <c r="E136" s="71"/>
      <c r="F136" s="516">
        <f>F132</f>
        <v>0</v>
      </c>
      <c r="G136" s="516">
        <f>F136+G132</f>
        <v>0</v>
      </c>
      <c r="H136" s="516">
        <f t="shared" ref="H136:O136" si="53">G136-H134</f>
        <v>0</v>
      </c>
      <c r="I136" s="516">
        <f t="shared" si="53"/>
        <v>0</v>
      </c>
      <c r="J136" s="516">
        <f t="shared" si="53"/>
        <v>0</v>
      </c>
      <c r="K136" s="516">
        <f t="shared" si="53"/>
        <v>0</v>
      </c>
      <c r="L136" s="516">
        <f t="shared" si="53"/>
        <v>0</v>
      </c>
      <c r="M136" s="516">
        <f t="shared" si="53"/>
        <v>0</v>
      </c>
      <c r="N136" s="516">
        <f t="shared" si="53"/>
        <v>0</v>
      </c>
      <c r="O136" s="516">
        <f t="shared" si="53"/>
        <v>0</v>
      </c>
      <c r="P136" s="353"/>
      <c r="Q136" s="156"/>
      <c r="R136" s="108"/>
      <c r="S136" s="108"/>
      <c r="T136" s="108"/>
      <c r="U136" s="108"/>
      <c r="V136" s="108"/>
    </row>
    <row r="137" spans="1:22" outlineLevel="1">
      <c r="A137" s="133"/>
      <c r="B137" s="177"/>
      <c r="C137" s="416"/>
      <c r="D137" s="133"/>
      <c r="E137" s="71"/>
      <c r="F137" s="133"/>
      <c r="G137" s="352"/>
      <c r="H137" s="352"/>
      <c r="I137" s="352"/>
      <c r="J137" s="352"/>
      <c r="K137" s="352"/>
      <c r="L137" s="352"/>
      <c r="M137" s="352"/>
      <c r="N137" s="352"/>
      <c r="O137" s="352"/>
      <c r="P137" s="353"/>
      <c r="Q137" s="156"/>
      <c r="R137" s="108"/>
      <c r="S137" s="108"/>
      <c r="T137" s="108"/>
      <c r="U137" s="108"/>
      <c r="V137" s="108"/>
    </row>
    <row r="138" spans="1:22" outlineLevel="1">
      <c r="A138" s="520"/>
      <c r="B138" s="520" t="s">
        <v>199</v>
      </c>
      <c r="C138" s="520"/>
      <c r="D138" s="520"/>
      <c r="E138" s="71"/>
      <c r="F138" s="520"/>
      <c r="G138" s="520"/>
      <c r="H138" s="520"/>
      <c r="I138" s="520"/>
      <c r="J138" s="520"/>
      <c r="K138" s="520"/>
      <c r="L138" s="520"/>
      <c r="M138" s="520"/>
      <c r="N138" s="520"/>
      <c r="O138" s="520"/>
      <c r="P138" s="681"/>
      <c r="Q138" s="156"/>
      <c r="R138" s="108"/>
      <c r="S138" s="108"/>
      <c r="T138" s="108"/>
      <c r="U138" s="108"/>
      <c r="V138" s="108"/>
    </row>
    <row r="139" spans="1:22" outlineLevel="1">
      <c r="A139" s="221" t="str">
        <f t="array" aca="1" ref="A139" ca="1">HYPERLINK(CELL("адрес",Исходные!A32),"источник")</f>
        <v>источник</v>
      </c>
      <c r="B139" s="173" t="s">
        <v>189</v>
      </c>
      <c r="C139" s="238" t="s">
        <v>19</v>
      </c>
      <c r="D139" s="242">
        <f>SUM(F139:O139)</f>
        <v>0</v>
      </c>
      <c r="E139" s="71"/>
      <c r="F139" s="225">
        <f>Исходные!F32</f>
        <v>0</v>
      </c>
      <c r="G139" s="225">
        <f>Исходные!G32</f>
        <v>0</v>
      </c>
      <c r="H139" s="225">
        <f>Исходные!H32</f>
        <v>0</v>
      </c>
      <c r="I139" s="225">
        <f>Исходные!I32</f>
        <v>0</v>
      </c>
      <c r="J139" s="225">
        <f>Исходные!J32</f>
        <v>0</v>
      </c>
      <c r="K139" s="225">
        <f>Исходные!K32</f>
        <v>0</v>
      </c>
      <c r="L139" s="225">
        <f>Исходные!L32</f>
        <v>0</v>
      </c>
      <c r="M139" s="225">
        <f>Исходные!M32</f>
        <v>0</v>
      </c>
      <c r="N139" s="225">
        <f>Исходные!N32</f>
        <v>0</v>
      </c>
      <c r="O139" s="225">
        <f>Исходные!O32</f>
        <v>0</v>
      </c>
      <c r="P139" s="349"/>
      <c r="Q139" s="156"/>
      <c r="R139" s="108"/>
      <c r="S139" s="108"/>
      <c r="T139" s="108"/>
      <c r="U139" s="108"/>
      <c r="V139" s="108"/>
    </row>
    <row r="140" spans="1:22" outlineLevel="1">
      <c r="A140" s="146"/>
      <c r="B140" s="173" t="s">
        <v>132</v>
      </c>
      <c r="C140" s="238" t="s">
        <v>19</v>
      </c>
      <c r="D140" s="242">
        <f>SUM(F140:O140)</f>
        <v>0</v>
      </c>
      <c r="E140" s="71"/>
      <c r="F140" s="226">
        <f>F139/(1+Макро!F31)*Макро!F31</f>
        <v>0</v>
      </c>
      <c r="G140" s="226">
        <f>G139/(1+Макро!G31)*Макро!G31</f>
        <v>0</v>
      </c>
      <c r="H140" s="226">
        <f>H139/(1+Макро!H31)*Макро!H31</f>
        <v>0</v>
      </c>
      <c r="I140" s="226">
        <f>I139/(1+Макро!I31)*Макро!I31</f>
        <v>0</v>
      </c>
      <c r="J140" s="226">
        <f>J139/(1+Макро!J31)*Макро!J31</f>
        <v>0</v>
      </c>
      <c r="K140" s="226">
        <f>K139/(1+Макро!K31)*Макро!K31</f>
        <v>0</v>
      </c>
      <c r="L140" s="226">
        <f>L139/(1+Макро!L31)*Макро!L31</f>
        <v>0</v>
      </c>
      <c r="M140" s="226">
        <f>M139/(1+Макро!M31)*Макро!M31</f>
        <v>0</v>
      </c>
      <c r="N140" s="226">
        <f>N139/(1+Макро!N31)*Макро!N31</f>
        <v>0</v>
      </c>
      <c r="O140" s="226">
        <f>O139/(1+Макро!O31)*Макро!O31</f>
        <v>0</v>
      </c>
      <c r="P140" s="353"/>
      <c r="Q140" s="156"/>
      <c r="R140" s="108"/>
      <c r="S140" s="108"/>
      <c r="T140" s="108"/>
      <c r="U140" s="108"/>
      <c r="V140" s="108"/>
    </row>
    <row r="141" spans="1:22" ht="30" outlineLevel="1">
      <c r="A141" s="146"/>
      <c r="B141" s="173" t="s">
        <v>468</v>
      </c>
      <c r="C141" s="238" t="s">
        <v>19</v>
      </c>
      <c r="D141" s="242">
        <f>SUM(F141:O141)</f>
        <v>0</v>
      </c>
      <c r="E141" s="71"/>
      <c r="F141" s="226">
        <f t="shared" ref="F141:O141" si="54">F139-F140</f>
        <v>0</v>
      </c>
      <c r="G141" s="226">
        <f t="shared" si="54"/>
        <v>0</v>
      </c>
      <c r="H141" s="226">
        <f t="shared" si="54"/>
        <v>0</v>
      </c>
      <c r="I141" s="226">
        <f t="shared" si="54"/>
        <v>0</v>
      </c>
      <c r="J141" s="226">
        <f t="shared" si="54"/>
        <v>0</v>
      </c>
      <c r="K141" s="226">
        <f t="shared" si="54"/>
        <v>0</v>
      </c>
      <c r="L141" s="226">
        <f t="shared" si="54"/>
        <v>0</v>
      </c>
      <c r="M141" s="226">
        <f t="shared" si="54"/>
        <v>0</v>
      </c>
      <c r="N141" s="226">
        <f t="shared" si="54"/>
        <v>0</v>
      </c>
      <c r="O141" s="226">
        <f t="shared" si="54"/>
        <v>0</v>
      </c>
      <c r="P141" s="353"/>
      <c r="Q141" s="156"/>
      <c r="R141" s="108"/>
      <c r="S141" s="108"/>
      <c r="T141" s="108"/>
      <c r="U141" s="108"/>
      <c r="V141" s="108"/>
    </row>
    <row r="142" spans="1:22" ht="30" outlineLevel="1">
      <c r="A142" s="146"/>
      <c r="B142" s="173" t="s">
        <v>130</v>
      </c>
      <c r="C142" s="238" t="s">
        <v>131</v>
      </c>
      <c r="D142" s="753"/>
      <c r="E142" s="71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71"/>
      <c r="Q142" s="156"/>
      <c r="R142" s="108"/>
      <c r="S142" s="108"/>
      <c r="T142" s="108"/>
      <c r="U142" s="108"/>
      <c r="V142" s="108"/>
    </row>
    <row r="143" spans="1:22" outlineLevel="1">
      <c r="A143" s="146"/>
      <c r="B143" s="173" t="s">
        <v>101</v>
      </c>
      <c r="C143" s="238" t="s">
        <v>19</v>
      </c>
      <c r="D143" s="242">
        <f>SUM(F143:O143)</f>
        <v>0</v>
      </c>
      <c r="E143" s="71"/>
      <c r="F143" s="146"/>
      <c r="G143" s="226"/>
      <c r="H143" s="226">
        <f t="shared" ref="H143:O143" si="55">IF(H144&gt;=0,$D$60/$D$61,0)</f>
        <v>0</v>
      </c>
      <c r="I143" s="226">
        <f t="shared" si="55"/>
        <v>0</v>
      </c>
      <c r="J143" s="226">
        <f t="shared" si="55"/>
        <v>0</v>
      </c>
      <c r="K143" s="226">
        <f t="shared" si="55"/>
        <v>0</v>
      </c>
      <c r="L143" s="226">
        <f t="shared" si="55"/>
        <v>0</v>
      </c>
      <c r="M143" s="226">
        <f t="shared" si="55"/>
        <v>0</v>
      </c>
      <c r="N143" s="226">
        <f t="shared" si="55"/>
        <v>0</v>
      </c>
      <c r="O143" s="226">
        <f t="shared" si="55"/>
        <v>0</v>
      </c>
      <c r="P143" s="353"/>
      <c r="Q143" s="156"/>
      <c r="R143" s="108"/>
      <c r="S143" s="108"/>
      <c r="T143" s="108"/>
      <c r="U143" s="108"/>
      <c r="V143" s="108"/>
    </row>
    <row r="144" spans="1:22" outlineLevel="1">
      <c r="A144" s="146"/>
      <c r="B144" s="525" t="s">
        <v>136</v>
      </c>
      <c r="C144" s="238"/>
      <c r="D144" s="659"/>
      <c r="E144" s="71"/>
      <c r="F144" s="146"/>
      <c r="G144" s="416">
        <f>D142</f>
        <v>0</v>
      </c>
      <c r="H144" s="416">
        <f t="shared" ref="H144:O144" si="56">G144-1</f>
        <v>-1</v>
      </c>
      <c r="I144" s="416">
        <f t="shared" si="56"/>
        <v>-2</v>
      </c>
      <c r="J144" s="416">
        <f t="shared" si="56"/>
        <v>-3</v>
      </c>
      <c r="K144" s="416">
        <f t="shared" si="56"/>
        <v>-4</v>
      </c>
      <c r="L144" s="416">
        <f t="shared" si="56"/>
        <v>-5</v>
      </c>
      <c r="M144" s="416">
        <f t="shared" si="56"/>
        <v>-6</v>
      </c>
      <c r="N144" s="416">
        <f t="shared" si="56"/>
        <v>-7</v>
      </c>
      <c r="O144" s="416">
        <f t="shared" si="56"/>
        <v>-8</v>
      </c>
      <c r="P144" s="416"/>
      <c r="Q144" s="156"/>
      <c r="R144" s="108"/>
      <c r="S144" s="108"/>
      <c r="T144" s="108"/>
      <c r="U144" s="108"/>
      <c r="V144" s="108"/>
    </row>
    <row r="145" spans="1:22" outlineLevel="1">
      <c r="A145" s="521"/>
      <c r="B145" s="526" t="s">
        <v>190</v>
      </c>
      <c r="C145" s="660" t="s">
        <v>19</v>
      </c>
      <c r="D145" s="521"/>
      <c r="E145" s="71"/>
      <c r="F145" s="516">
        <f>F141</f>
        <v>0</v>
      </c>
      <c r="G145" s="516">
        <f>F145+G141</f>
        <v>0</v>
      </c>
      <c r="H145" s="516">
        <f t="shared" ref="H145:O145" si="57">G145-H143</f>
        <v>0</v>
      </c>
      <c r="I145" s="516">
        <f t="shared" si="57"/>
        <v>0</v>
      </c>
      <c r="J145" s="516">
        <f t="shared" si="57"/>
        <v>0</v>
      </c>
      <c r="K145" s="516">
        <f t="shared" si="57"/>
        <v>0</v>
      </c>
      <c r="L145" s="516">
        <f t="shared" si="57"/>
        <v>0</v>
      </c>
      <c r="M145" s="516">
        <f t="shared" si="57"/>
        <v>0</v>
      </c>
      <c r="N145" s="516">
        <f t="shared" si="57"/>
        <v>0</v>
      </c>
      <c r="O145" s="516">
        <f t="shared" si="57"/>
        <v>0</v>
      </c>
      <c r="P145" s="353"/>
      <c r="Q145" s="156"/>
      <c r="R145" s="108"/>
      <c r="S145" s="108"/>
      <c r="T145" s="108"/>
      <c r="U145" s="108"/>
      <c r="V145" s="108"/>
    </row>
    <row r="146" spans="1:22" outlineLevel="1">
      <c r="A146" s="133"/>
      <c r="B146" s="177"/>
      <c r="C146" s="416"/>
      <c r="D146" s="133"/>
      <c r="E146" s="71"/>
      <c r="F146" s="133"/>
      <c r="G146" s="352"/>
      <c r="H146" s="352"/>
      <c r="I146" s="352"/>
      <c r="J146" s="352"/>
      <c r="K146" s="352"/>
      <c r="L146" s="352"/>
      <c r="M146" s="352"/>
      <c r="N146" s="352"/>
      <c r="O146" s="352"/>
      <c r="P146" s="353"/>
      <c r="Q146" s="156"/>
      <c r="R146" s="108"/>
      <c r="S146" s="108"/>
      <c r="T146" s="108"/>
      <c r="U146" s="108"/>
      <c r="V146" s="108"/>
    </row>
    <row r="147" spans="1:22" outlineLevel="1">
      <c r="A147" s="520"/>
      <c r="B147" s="520" t="s">
        <v>200</v>
      </c>
      <c r="C147" s="520"/>
      <c r="D147" s="520"/>
      <c r="E147" s="71"/>
      <c r="F147" s="520"/>
      <c r="G147" s="520"/>
      <c r="H147" s="520"/>
      <c r="I147" s="520"/>
      <c r="J147" s="520"/>
      <c r="K147" s="520"/>
      <c r="L147" s="520"/>
      <c r="M147" s="520"/>
      <c r="N147" s="520"/>
      <c r="O147" s="520"/>
      <c r="P147" s="681"/>
      <c r="Q147" s="156"/>
      <c r="R147" s="108"/>
      <c r="S147" s="108"/>
      <c r="T147" s="108"/>
      <c r="U147" s="108"/>
      <c r="V147" s="108"/>
    </row>
    <row r="148" spans="1:22" outlineLevel="1">
      <c r="A148" s="221" t="str">
        <f t="array" aca="1" ref="A148" ca="1">HYPERLINK(CELL("адрес",Исходные!A33),"источник")</f>
        <v>источник</v>
      </c>
      <c r="B148" s="173" t="s">
        <v>189</v>
      </c>
      <c r="C148" s="238" t="s">
        <v>19</v>
      </c>
      <c r="D148" s="242">
        <f>SUM(F148:O148)</f>
        <v>0</v>
      </c>
      <c r="E148" s="71"/>
      <c r="F148" s="225">
        <f>Исходные!F33</f>
        <v>0</v>
      </c>
      <c r="G148" s="225">
        <f>Исходные!G33</f>
        <v>0</v>
      </c>
      <c r="H148" s="225">
        <f>Исходные!H33</f>
        <v>0</v>
      </c>
      <c r="I148" s="225">
        <f>Исходные!I33</f>
        <v>0</v>
      </c>
      <c r="J148" s="225">
        <f>Исходные!J33</f>
        <v>0</v>
      </c>
      <c r="K148" s="225">
        <f>Исходные!K33</f>
        <v>0</v>
      </c>
      <c r="L148" s="225">
        <f>Исходные!L33</f>
        <v>0</v>
      </c>
      <c r="M148" s="225">
        <f>Исходные!M33</f>
        <v>0</v>
      </c>
      <c r="N148" s="225">
        <f>Исходные!N33</f>
        <v>0</v>
      </c>
      <c r="O148" s="225">
        <f>Исходные!O33</f>
        <v>0</v>
      </c>
      <c r="P148" s="349"/>
      <c r="Q148" s="156"/>
      <c r="R148" s="108"/>
      <c r="S148" s="108"/>
      <c r="T148" s="108"/>
      <c r="U148" s="108"/>
      <c r="V148" s="108"/>
    </row>
    <row r="149" spans="1:22" outlineLevel="1">
      <c r="A149" s="146"/>
      <c r="B149" s="173" t="s">
        <v>132</v>
      </c>
      <c r="C149" s="238" t="s">
        <v>19</v>
      </c>
      <c r="D149" s="242">
        <f>SUM(F149:O149)</f>
        <v>0</v>
      </c>
      <c r="E149" s="71"/>
      <c r="F149" s="226">
        <f>F148/(1+Макро!F31)*Макро!F31</f>
        <v>0</v>
      </c>
      <c r="G149" s="226">
        <f>G148/(1+Макро!G31)*Макро!G31</f>
        <v>0</v>
      </c>
      <c r="H149" s="226">
        <f>H148/(1+Макро!H31)*Макро!H31</f>
        <v>0</v>
      </c>
      <c r="I149" s="226">
        <f>I148/(1+Макро!I31)*Макро!I31</f>
        <v>0</v>
      </c>
      <c r="J149" s="226">
        <f>J148/(1+Макро!J31)*Макро!J31</f>
        <v>0</v>
      </c>
      <c r="K149" s="226">
        <f>K148/(1+Макро!K31)*Макро!K31</f>
        <v>0</v>
      </c>
      <c r="L149" s="226">
        <f>L148/(1+Макро!L31)*Макро!L31</f>
        <v>0</v>
      </c>
      <c r="M149" s="226">
        <f>M148/(1+Макро!M31)*Макро!M31</f>
        <v>0</v>
      </c>
      <c r="N149" s="226">
        <f>N148/(1+Макро!N31)*Макро!N31</f>
        <v>0</v>
      </c>
      <c r="O149" s="226">
        <f>O148/(1+Макро!O31)*Макро!O31</f>
        <v>0</v>
      </c>
      <c r="P149" s="353"/>
      <c r="Q149" s="156"/>
      <c r="R149" s="108"/>
      <c r="S149" s="108"/>
      <c r="T149" s="108"/>
      <c r="U149" s="108"/>
      <c r="V149" s="108"/>
    </row>
    <row r="150" spans="1:22" ht="30" outlineLevel="1">
      <c r="A150" s="146"/>
      <c r="B150" s="173" t="s">
        <v>468</v>
      </c>
      <c r="C150" s="238" t="s">
        <v>19</v>
      </c>
      <c r="D150" s="242">
        <f>SUM(F150:O150)</f>
        <v>0</v>
      </c>
      <c r="E150" s="71"/>
      <c r="F150" s="226">
        <f t="shared" ref="F150:O150" si="58">F148-F149</f>
        <v>0</v>
      </c>
      <c r="G150" s="226">
        <f t="shared" si="58"/>
        <v>0</v>
      </c>
      <c r="H150" s="226">
        <f t="shared" si="58"/>
        <v>0</v>
      </c>
      <c r="I150" s="226">
        <f t="shared" si="58"/>
        <v>0</v>
      </c>
      <c r="J150" s="226">
        <f t="shared" si="58"/>
        <v>0</v>
      </c>
      <c r="K150" s="226">
        <f t="shared" si="58"/>
        <v>0</v>
      </c>
      <c r="L150" s="226">
        <f t="shared" si="58"/>
        <v>0</v>
      </c>
      <c r="M150" s="226">
        <f t="shared" si="58"/>
        <v>0</v>
      </c>
      <c r="N150" s="226">
        <f t="shared" si="58"/>
        <v>0</v>
      </c>
      <c r="O150" s="226">
        <f t="shared" si="58"/>
        <v>0</v>
      </c>
      <c r="P150" s="353"/>
      <c r="Q150" s="156"/>
      <c r="R150" s="108"/>
      <c r="S150" s="108"/>
      <c r="T150" s="108"/>
      <c r="U150" s="108"/>
      <c r="V150" s="108"/>
    </row>
    <row r="151" spans="1:22" ht="30" outlineLevel="1">
      <c r="A151" s="146"/>
      <c r="B151" s="173" t="s">
        <v>130</v>
      </c>
      <c r="C151" s="238" t="s">
        <v>131</v>
      </c>
      <c r="D151" s="753"/>
      <c r="E151" s="71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71"/>
      <c r="Q151" s="156"/>
      <c r="R151" s="108"/>
      <c r="S151" s="108"/>
      <c r="T151" s="108"/>
      <c r="U151" s="108"/>
      <c r="V151" s="108"/>
    </row>
    <row r="152" spans="1:22" outlineLevel="1">
      <c r="A152" s="146"/>
      <c r="B152" s="173" t="s">
        <v>101</v>
      </c>
      <c r="C152" s="238" t="s">
        <v>19</v>
      </c>
      <c r="D152" s="242">
        <f>SUM(F152:O152)</f>
        <v>0</v>
      </c>
      <c r="E152" s="71"/>
      <c r="F152" s="146"/>
      <c r="G152" s="226"/>
      <c r="H152" s="226">
        <f t="shared" ref="H152:O152" si="59">IF(H153&gt;=0,$D$60/$D$61,0)</f>
        <v>0</v>
      </c>
      <c r="I152" s="226">
        <f t="shared" si="59"/>
        <v>0</v>
      </c>
      <c r="J152" s="226">
        <f t="shared" si="59"/>
        <v>0</v>
      </c>
      <c r="K152" s="226">
        <f t="shared" si="59"/>
        <v>0</v>
      </c>
      <c r="L152" s="226">
        <f t="shared" si="59"/>
        <v>0</v>
      </c>
      <c r="M152" s="226">
        <f t="shared" si="59"/>
        <v>0</v>
      </c>
      <c r="N152" s="226">
        <f t="shared" si="59"/>
        <v>0</v>
      </c>
      <c r="O152" s="226">
        <f t="shared" si="59"/>
        <v>0</v>
      </c>
      <c r="P152" s="353"/>
      <c r="Q152" s="156"/>
      <c r="R152" s="108"/>
      <c r="S152" s="108"/>
      <c r="T152" s="108"/>
      <c r="U152" s="108"/>
      <c r="V152" s="108"/>
    </row>
    <row r="153" spans="1:22" outlineLevel="1">
      <c r="A153" s="146"/>
      <c r="B153" s="525" t="s">
        <v>136</v>
      </c>
      <c r="C153" s="238"/>
      <c r="D153" s="659"/>
      <c r="E153" s="71"/>
      <c r="F153" s="146"/>
      <c r="G153" s="416">
        <f>D151</f>
        <v>0</v>
      </c>
      <c r="H153" s="416">
        <f t="shared" ref="H153:O153" si="60">G153-1</f>
        <v>-1</v>
      </c>
      <c r="I153" s="416">
        <f t="shared" si="60"/>
        <v>-2</v>
      </c>
      <c r="J153" s="416">
        <f t="shared" si="60"/>
        <v>-3</v>
      </c>
      <c r="K153" s="416">
        <f t="shared" si="60"/>
        <v>-4</v>
      </c>
      <c r="L153" s="416">
        <f t="shared" si="60"/>
        <v>-5</v>
      </c>
      <c r="M153" s="416">
        <f t="shared" si="60"/>
        <v>-6</v>
      </c>
      <c r="N153" s="416">
        <f t="shared" si="60"/>
        <v>-7</v>
      </c>
      <c r="O153" s="416">
        <f t="shared" si="60"/>
        <v>-8</v>
      </c>
      <c r="P153" s="416"/>
      <c r="Q153" s="156"/>
      <c r="R153" s="108"/>
      <c r="S153" s="108"/>
      <c r="T153" s="108"/>
      <c r="U153" s="108"/>
      <c r="V153" s="108"/>
    </row>
    <row r="154" spans="1:22" outlineLevel="1">
      <c r="A154" s="521"/>
      <c r="B154" s="526" t="s">
        <v>190</v>
      </c>
      <c r="C154" s="660" t="s">
        <v>19</v>
      </c>
      <c r="D154" s="521"/>
      <c r="E154" s="71"/>
      <c r="F154" s="516">
        <f>F150</f>
        <v>0</v>
      </c>
      <c r="G154" s="516">
        <f>F154+G150</f>
        <v>0</v>
      </c>
      <c r="H154" s="516">
        <f t="shared" ref="H154:O154" si="61">G154-H152</f>
        <v>0</v>
      </c>
      <c r="I154" s="516">
        <f t="shared" si="61"/>
        <v>0</v>
      </c>
      <c r="J154" s="516">
        <f t="shared" si="61"/>
        <v>0</v>
      </c>
      <c r="K154" s="516">
        <f t="shared" si="61"/>
        <v>0</v>
      </c>
      <c r="L154" s="516">
        <f t="shared" si="61"/>
        <v>0</v>
      </c>
      <c r="M154" s="516">
        <f t="shared" si="61"/>
        <v>0</v>
      </c>
      <c r="N154" s="516">
        <f t="shared" si="61"/>
        <v>0</v>
      </c>
      <c r="O154" s="516">
        <f t="shared" si="61"/>
        <v>0</v>
      </c>
      <c r="P154" s="353"/>
      <c r="Q154" s="156"/>
      <c r="R154" s="108"/>
      <c r="S154" s="108"/>
      <c r="T154" s="108"/>
      <c r="U154" s="108"/>
      <c r="V154" s="108"/>
    </row>
    <row r="155" spans="1:22" outlineLevel="1">
      <c r="A155" s="133"/>
      <c r="B155" s="177"/>
      <c r="C155" s="238"/>
      <c r="D155" s="522"/>
      <c r="E155" s="71"/>
      <c r="F155" s="133"/>
      <c r="G155" s="352"/>
      <c r="H155" s="352"/>
      <c r="I155" s="352"/>
      <c r="J155" s="352"/>
      <c r="K155" s="352"/>
      <c r="L155" s="352"/>
      <c r="M155" s="352"/>
      <c r="N155" s="352"/>
      <c r="O155" s="352"/>
      <c r="P155" s="353"/>
      <c r="Q155" s="156"/>
      <c r="R155" s="108"/>
      <c r="S155" s="108"/>
      <c r="T155" s="108"/>
      <c r="U155" s="108"/>
      <c r="V155" s="108"/>
    </row>
    <row r="156" spans="1:22" outlineLevel="1">
      <c r="A156" s="133"/>
      <c r="B156" s="177"/>
      <c r="C156" s="238"/>
      <c r="D156" s="133"/>
      <c r="E156" s="71"/>
      <c r="F156" s="133"/>
      <c r="G156" s="352"/>
      <c r="H156" s="352"/>
      <c r="I156" s="352"/>
      <c r="J156" s="352"/>
      <c r="K156" s="352"/>
      <c r="L156" s="352"/>
      <c r="M156" s="352"/>
      <c r="N156" s="352"/>
      <c r="O156" s="352"/>
      <c r="P156" s="353"/>
      <c r="Q156" s="156"/>
      <c r="R156" s="108"/>
      <c r="S156" s="108"/>
      <c r="T156" s="108"/>
      <c r="U156" s="108"/>
      <c r="V156" s="108"/>
    </row>
    <row r="157" spans="1:22" outlineLevel="1">
      <c r="A157" s="133"/>
      <c r="B157" s="177"/>
      <c r="C157" s="238"/>
      <c r="D157" s="133"/>
      <c r="E157" s="71"/>
      <c r="F157" s="133"/>
      <c r="G157" s="352"/>
      <c r="H157" s="352"/>
      <c r="I157" s="352"/>
      <c r="J157" s="352"/>
      <c r="K157" s="352"/>
      <c r="L157" s="352"/>
      <c r="M157" s="352"/>
      <c r="N157" s="352"/>
      <c r="O157" s="352"/>
      <c r="P157" s="353"/>
      <c r="Q157" s="156"/>
      <c r="R157" s="108"/>
      <c r="S157" s="108"/>
      <c r="T157" s="108"/>
      <c r="U157" s="108"/>
      <c r="V157" s="108"/>
    </row>
    <row r="158" spans="1:22" outlineLevel="1">
      <c r="A158" s="133"/>
      <c r="B158" s="177"/>
      <c r="C158" s="238"/>
      <c r="D158" s="133"/>
      <c r="E158" s="71"/>
      <c r="F158" s="133"/>
      <c r="G158" s="352"/>
      <c r="H158" s="352"/>
      <c r="I158" s="352"/>
      <c r="J158" s="352"/>
      <c r="K158" s="352"/>
      <c r="L158" s="352"/>
      <c r="M158" s="352"/>
      <c r="N158" s="352"/>
      <c r="O158" s="352"/>
      <c r="P158" s="353"/>
      <c r="Q158" s="156"/>
      <c r="R158" s="108"/>
      <c r="S158" s="108"/>
      <c r="T158" s="108"/>
      <c r="U158" s="108"/>
      <c r="V158" s="108"/>
    </row>
    <row r="159" spans="1:22" outlineLevel="1">
      <c r="A159" s="133"/>
      <c r="B159" s="177"/>
      <c r="C159" s="238"/>
      <c r="D159" s="133"/>
      <c r="E159" s="71"/>
      <c r="F159" s="133"/>
      <c r="G159" s="352"/>
      <c r="H159" s="352"/>
      <c r="I159" s="352"/>
      <c r="J159" s="352"/>
      <c r="K159" s="352"/>
      <c r="L159" s="352"/>
      <c r="M159" s="352"/>
      <c r="N159" s="352"/>
      <c r="O159" s="352"/>
      <c r="P159" s="353"/>
      <c r="Q159" s="156"/>
      <c r="R159" s="108"/>
      <c r="S159" s="108"/>
      <c r="T159" s="108"/>
      <c r="U159" s="108"/>
      <c r="V159" s="108"/>
    </row>
    <row r="160" spans="1:22" outlineLevel="1">
      <c r="A160" s="133"/>
      <c r="B160" s="177"/>
      <c r="C160" s="238"/>
      <c r="D160" s="133"/>
      <c r="E160" s="71"/>
      <c r="F160" s="133"/>
      <c r="G160" s="352"/>
      <c r="H160" s="352"/>
      <c r="I160" s="352"/>
      <c r="J160" s="352"/>
      <c r="K160" s="352"/>
      <c r="L160" s="352"/>
      <c r="M160" s="352"/>
      <c r="N160" s="352"/>
      <c r="O160" s="352"/>
      <c r="P160" s="353"/>
      <c r="Q160" s="156"/>
      <c r="R160" s="108"/>
      <c r="S160" s="108"/>
      <c r="T160" s="108"/>
      <c r="U160" s="108"/>
      <c r="V160" s="108"/>
    </row>
    <row r="161" spans="1:22" outlineLevel="1">
      <c r="A161" s="133"/>
      <c r="B161" s="177"/>
      <c r="C161" s="238"/>
      <c r="D161" s="133"/>
      <c r="E161" s="71"/>
      <c r="F161" s="133"/>
      <c r="G161" s="352"/>
      <c r="H161" s="352"/>
      <c r="I161" s="352"/>
      <c r="J161" s="352"/>
      <c r="K161" s="352"/>
      <c r="L161" s="352"/>
      <c r="M161" s="352"/>
      <c r="N161" s="352"/>
      <c r="O161" s="352"/>
      <c r="P161" s="353"/>
      <c r="Q161" s="156"/>
      <c r="R161" s="108"/>
      <c r="S161" s="108"/>
      <c r="T161" s="108"/>
      <c r="U161" s="108"/>
      <c r="V161" s="108"/>
    </row>
    <row r="162" spans="1:22" outlineLevel="1">
      <c r="A162" s="133"/>
      <c r="B162" s="177"/>
      <c r="C162" s="238"/>
      <c r="D162" s="133"/>
      <c r="E162" s="71"/>
      <c r="F162" s="133"/>
      <c r="G162" s="352"/>
      <c r="H162" s="352"/>
      <c r="I162" s="352"/>
      <c r="J162" s="352"/>
      <c r="K162" s="352"/>
      <c r="L162" s="352"/>
      <c r="M162" s="352"/>
      <c r="N162" s="352"/>
      <c r="O162" s="352"/>
      <c r="P162" s="353"/>
      <c r="Q162" s="156"/>
      <c r="R162" s="108"/>
      <c r="S162" s="108"/>
      <c r="T162" s="108"/>
      <c r="U162" s="108"/>
      <c r="V162" s="108"/>
    </row>
    <row r="163" spans="1:22" outlineLevel="1">
      <c r="A163" s="133"/>
      <c r="B163" s="177"/>
      <c r="C163" s="238"/>
      <c r="D163" s="133"/>
      <c r="E163" s="71"/>
      <c r="F163" s="133"/>
      <c r="G163" s="352"/>
      <c r="H163" s="352"/>
      <c r="I163" s="352"/>
      <c r="J163" s="352"/>
      <c r="K163" s="352"/>
      <c r="L163" s="352"/>
      <c r="M163" s="352"/>
      <c r="N163" s="352"/>
      <c r="O163" s="352"/>
      <c r="P163" s="353"/>
      <c r="Q163" s="156"/>
      <c r="R163" s="108"/>
      <c r="S163" s="108"/>
      <c r="T163" s="108"/>
      <c r="U163" s="108"/>
      <c r="V163" s="108"/>
    </row>
    <row r="164" spans="1:22" outlineLevel="1">
      <c r="A164" s="133"/>
      <c r="B164" s="177"/>
      <c r="C164" s="238"/>
      <c r="D164" s="133"/>
      <c r="E164" s="71"/>
      <c r="F164" s="133"/>
      <c r="G164" s="352"/>
      <c r="H164" s="352"/>
      <c r="I164" s="352"/>
      <c r="J164" s="352"/>
      <c r="K164" s="352"/>
      <c r="L164" s="352"/>
      <c r="M164" s="352"/>
      <c r="N164" s="352"/>
      <c r="O164" s="352"/>
      <c r="P164" s="353"/>
      <c r="Q164" s="156"/>
      <c r="R164" s="108"/>
      <c r="S164" s="108"/>
      <c r="T164" s="108"/>
      <c r="U164" s="108"/>
      <c r="V164" s="108"/>
    </row>
    <row r="165" spans="1:22" outlineLevel="1">
      <c r="A165" s="133"/>
      <c r="B165" s="177"/>
      <c r="C165" s="238"/>
      <c r="D165" s="133"/>
      <c r="E165" s="71"/>
      <c r="F165" s="133"/>
      <c r="G165" s="352"/>
      <c r="H165" s="352"/>
      <c r="I165" s="352"/>
      <c r="J165" s="352"/>
      <c r="K165" s="352"/>
      <c r="L165" s="352"/>
      <c r="M165" s="352"/>
      <c r="N165" s="352"/>
      <c r="O165" s="352"/>
      <c r="P165" s="353"/>
      <c r="Q165" s="156"/>
      <c r="R165" s="108"/>
      <c r="S165" s="108"/>
      <c r="T165" s="108"/>
      <c r="U165" s="108"/>
      <c r="V165" s="108"/>
    </row>
    <row r="166" spans="1:22" outlineLevel="1">
      <c r="A166" s="133"/>
      <c r="B166" s="177"/>
      <c r="C166" s="238"/>
      <c r="D166" s="133"/>
      <c r="E166" s="71"/>
      <c r="F166" s="133"/>
      <c r="G166" s="352"/>
      <c r="H166" s="352"/>
      <c r="I166" s="352"/>
      <c r="J166" s="352"/>
      <c r="K166" s="352"/>
      <c r="L166" s="352"/>
      <c r="M166" s="352"/>
      <c r="N166" s="352"/>
      <c r="O166" s="352"/>
      <c r="P166" s="353"/>
      <c r="Q166" s="156"/>
      <c r="R166" s="108"/>
      <c r="S166" s="108"/>
      <c r="T166" s="108"/>
      <c r="U166" s="108"/>
      <c r="V166" s="108"/>
    </row>
    <row r="167" spans="1:22" outlineLevel="1">
      <c r="A167" s="133"/>
      <c r="B167" s="177"/>
      <c r="C167" s="238"/>
      <c r="D167" s="133"/>
      <c r="E167" s="71"/>
      <c r="F167" s="133"/>
      <c r="G167" s="352"/>
      <c r="H167" s="352"/>
      <c r="I167" s="352"/>
      <c r="J167" s="352"/>
      <c r="K167" s="352"/>
      <c r="L167" s="352"/>
      <c r="M167" s="352"/>
      <c r="N167" s="352"/>
      <c r="O167" s="352"/>
      <c r="P167" s="353"/>
      <c r="Q167" s="156"/>
      <c r="R167" s="108"/>
      <c r="S167" s="108"/>
      <c r="T167" s="108"/>
      <c r="U167" s="108"/>
      <c r="V167" s="108"/>
    </row>
    <row r="168" spans="1:22" outlineLevel="1">
      <c r="A168" s="133"/>
      <c r="B168" s="177"/>
      <c r="C168" s="238"/>
      <c r="D168" s="133"/>
      <c r="E168" s="71"/>
      <c r="F168" s="133"/>
      <c r="G168" s="352"/>
      <c r="H168" s="352"/>
      <c r="I168" s="352"/>
      <c r="J168" s="352"/>
      <c r="K168" s="352"/>
      <c r="L168" s="352"/>
      <c r="M168" s="352"/>
      <c r="N168" s="352"/>
      <c r="O168" s="352"/>
      <c r="P168" s="353"/>
      <c r="Q168" s="156"/>
      <c r="R168" s="108"/>
      <c r="S168" s="108"/>
      <c r="T168" s="108"/>
      <c r="U168" s="108"/>
      <c r="V168" s="108"/>
    </row>
    <row r="169" spans="1:22" outlineLevel="1">
      <c r="A169" s="133"/>
      <c r="B169" s="177"/>
      <c r="C169" s="238"/>
      <c r="D169" s="133"/>
      <c r="E169" s="71"/>
      <c r="F169" s="133"/>
      <c r="G169" s="352"/>
      <c r="H169" s="352"/>
      <c r="I169" s="352"/>
      <c r="J169" s="352"/>
      <c r="K169" s="352"/>
      <c r="L169" s="352"/>
      <c r="M169" s="352"/>
      <c r="N169" s="352"/>
      <c r="O169" s="352"/>
      <c r="P169" s="353"/>
      <c r="Q169" s="156"/>
      <c r="R169" s="108"/>
      <c r="S169" s="108"/>
      <c r="T169" s="108"/>
      <c r="U169" s="108"/>
      <c r="V169" s="108"/>
    </row>
    <row r="170" spans="1:22" ht="15.75" thickBot="1">
      <c r="A170" s="132"/>
      <c r="B170" s="174"/>
      <c r="C170" s="187"/>
      <c r="D170" s="132"/>
      <c r="E170" s="71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71"/>
      <c r="Q170" s="156"/>
      <c r="R170" s="108"/>
      <c r="S170" s="108"/>
      <c r="T170" s="108"/>
      <c r="U170" s="108"/>
      <c r="V170" s="108"/>
    </row>
    <row r="172" spans="1:22">
      <c r="A172" s="71"/>
      <c r="B172" s="364"/>
      <c r="C172" s="184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</row>
    <row r="173" spans="1:22">
      <c r="A173" s="71"/>
      <c r="B173" s="169" t="str">
        <f t="array" aca="1" ref="B173" ca="1">HYPERLINK(CELL("адрес",БДР!$A$1),"Перейти на лист БДР")</f>
        <v>Перейти на лист БДР</v>
      </c>
      <c r="C173" s="184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</row>
    <row r="174" spans="1:22">
      <c r="A174" s="71"/>
      <c r="B174" s="169" t="str">
        <f t="array" aca="1" ref="B174" ca="1">HYPERLINK(CELL("адрес",БДДС!$A$1),"Перейти на лист БДДС")</f>
        <v>Перейти на лист БДДС</v>
      </c>
      <c r="C174" s="184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</row>
    <row r="175" spans="1:22">
      <c r="A175" s="71"/>
      <c r="B175" s="169" t="str">
        <f t="array" aca="1" ref="B175" ca="1">HYPERLINK(CELL("адрес",Баланс!$A$1),"Перейти на лист Баланс")</f>
        <v>Перейти на лист Баланс</v>
      </c>
      <c r="C175" s="184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</row>
    <row r="176" spans="1:22">
      <c r="A176" s="71"/>
      <c r="B176" s="364" t="str">
        <f t="array" aca="1" ref="B176" ca="1">HYPERLINK(CELL("адрес",Дашборд_ИтогТабл!$A$1),"Перейти на лист Дашборд_1")</f>
        <v>Перейти на лист Дашборд_1</v>
      </c>
      <c r="C176" s="184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</row>
    <row r="177" spans="2:2">
      <c r="B177" s="364" t="str">
        <f t="array" aca="1" ref="B177" ca="1">HYPERLINK(CELL("адрес",Дашборд_Основной!$A$1),"Перейти на лист Дашборд_Общий")</f>
        <v>Перейти на лист Дашборд_Общий</v>
      </c>
    </row>
    <row r="178" spans="2:2">
      <c r="B178" s="364" t="str">
        <f t="array" aca="1" ref="B178" ca="1">HYPERLINK(CELL("адрес",Дашборд_налоги!$A$1),"Перейти на лист Дашборд_Налоги")</f>
        <v>Перейти на лист Дашборд_Налоги</v>
      </c>
    </row>
  </sheetData>
  <hyperlinks>
    <hyperlink ref="H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9" tint="0.59999389629810485"/>
    <outlinePr summaryBelow="0" summaryRight="0"/>
    <pageSetUpPr fitToPage="1"/>
  </sheetPr>
  <dimension ref="A1:BZ74"/>
  <sheetViews>
    <sheetView zoomScale="115" zoomScaleNormal="115" workbookViewId="0">
      <pane xSplit="4" ySplit="3" topLeftCell="E4" activePane="bottomRight" state="frozen"/>
      <selection activeCell="L14" sqref="L14"/>
      <selection pane="topRight" activeCell="L14" sqref="L14"/>
      <selection pane="bottomLeft" activeCell="L14" sqref="L14"/>
      <selection pane="bottomRight" activeCell="F57" sqref="F57"/>
    </sheetView>
  </sheetViews>
  <sheetFormatPr defaultColWidth="0" defaultRowHeight="15" outlineLevelCol="1"/>
  <cols>
    <col min="1" max="1" width="10.42578125" customWidth="1"/>
    <col min="2" max="2" width="29.85546875" style="2" customWidth="1"/>
    <col min="3" max="3" width="11" customWidth="1"/>
    <col min="4" max="4" width="10.140625" customWidth="1"/>
    <col min="5" max="5" width="2.28515625" customWidth="1"/>
    <col min="6" max="15" width="8.85546875" customWidth="1"/>
    <col min="16" max="16" width="1.140625" customWidth="1"/>
    <col min="17" max="17" width="13.42578125" customWidth="1"/>
    <col min="18" max="18" width="1.7109375" customWidth="1"/>
    <col min="19" max="19" width="2.85546875" customWidth="1" collapsed="1"/>
    <col min="20" max="29" width="8.85546875" hidden="1" customWidth="1" outlineLevel="1"/>
    <col min="30" max="30" width="1.5703125" customWidth="1"/>
    <col min="31" max="31" width="35" customWidth="1"/>
    <col min="32" max="34" width="8.85546875" customWidth="1"/>
    <col min="35" max="78" width="0" hidden="1" customWidth="1"/>
    <col min="79" max="16384" width="8.85546875" hidden="1"/>
  </cols>
  <sheetData>
    <row r="1" spans="1:33" ht="25.5">
      <c r="A1" s="651" t="s">
        <v>78</v>
      </c>
      <c r="B1" s="164"/>
      <c r="C1" s="71"/>
      <c r="D1" s="71"/>
      <c r="E1" s="71"/>
      <c r="F1" s="71"/>
      <c r="G1" s="71"/>
      <c r="H1" s="71"/>
      <c r="I1" s="7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71"/>
      <c r="R1" s="71"/>
      <c r="S1" s="155" t="s">
        <v>181</v>
      </c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535"/>
      <c r="AF1" s="71"/>
      <c r="AG1" s="71"/>
    </row>
    <row r="2" spans="1:33">
      <c r="A2" s="71" t="str">
        <f>Паспорт_ФМ_резидент!B7</f>
        <v>Разработка, производство, модернизация и реализация …</v>
      </c>
      <c r="B2" s="164"/>
      <c r="C2" s="71"/>
      <c r="D2" s="126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71"/>
      <c r="Q2" s="71"/>
      <c r="R2" s="71"/>
      <c r="S2" s="156"/>
      <c r="T2" s="159">
        <v>11</v>
      </c>
      <c r="U2" s="159">
        <f>T2+1</f>
        <v>12</v>
      </c>
      <c r="V2" s="126">
        <f>U2+1</f>
        <v>13</v>
      </c>
      <c r="W2" s="126">
        <f t="shared" ref="W2:AC3" si="0">V2+1</f>
        <v>14</v>
      </c>
      <c r="X2" s="126">
        <f t="shared" si="0"/>
        <v>15</v>
      </c>
      <c r="Y2" s="126">
        <f t="shared" si="0"/>
        <v>16</v>
      </c>
      <c r="Z2" s="126">
        <f t="shared" si="0"/>
        <v>17</v>
      </c>
      <c r="AA2" s="126">
        <f t="shared" si="0"/>
        <v>18</v>
      </c>
      <c r="AB2" s="126">
        <f t="shared" si="0"/>
        <v>19</v>
      </c>
      <c r="AC2" s="126">
        <f t="shared" si="0"/>
        <v>20</v>
      </c>
      <c r="AD2" s="71"/>
      <c r="AE2" s="71"/>
      <c r="AF2" s="71"/>
      <c r="AG2" s="71"/>
    </row>
    <row r="3" spans="1:33" s="18" customFormat="1" ht="42.75">
      <c r="A3" s="127" t="s">
        <v>2</v>
      </c>
      <c r="B3" s="230" t="s">
        <v>3</v>
      </c>
      <c r="C3" s="127" t="s">
        <v>12</v>
      </c>
      <c r="D3" s="194" t="str">
        <f>CONCATENATE("Итого ",F3,"-",O3)</f>
        <v>Итого 2025-2034</v>
      </c>
      <c r="E3" s="152"/>
      <c r="F3" s="766">
        <v>2025</v>
      </c>
      <c r="G3" s="127">
        <f t="shared" ref="G3:O3" si="1">F3+1</f>
        <v>2026</v>
      </c>
      <c r="H3" s="127">
        <f t="shared" si="1"/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152"/>
      <c r="Q3" s="127" t="s">
        <v>106</v>
      </c>
      <c r="R3" s="152"/>
      <c r="S3" s="157"/>
      <c r="T3" s="160">
        <v>2035</v>
      </c>
      <c r="U3" s="160">
        <f>T3+1</f>
        <v>2036</v>
      </c>
      <c r="V3" s="160">
        <f>U3+1</f>
        <v>2037</v>
      </c>
      <c r="W3" s="160">
        <f t="shared" si="0"/>
        <v>2038</v>
      </c>
      <c r="X3" s="160">
        <f t="shared" si="0"/>
        <v>2039</v>
      </c>
      <c r="Y3" s="160">
        <f t="shared" si="0"/>
        <v>2040</v>
      </c>
      <c r="Z3" s="160">
        <f t="shared" si="0"/>
        <v>2041</v>
      </c>
      <c r="AA3" s="160">
        <f t="shared" si="0"/>
        <v>2042</v>
      </c>
      <c r="AB3" s="160">
        <f t="shared" si="0"/>
        <v>2043</v>
      </c>
      <c r="AC3" s="160">
        <f t="shared" si="0"/>
        <v>2044</v>
      </c>
      <c r="AD3" s="152"/>
      <c r="AE3" s="230" t="s">
        <v>202</v>
      </c>
      <c r="AF3" s="152"/>
      <c r="AG3" s="152"/>
    </row>
    <row r="4" spans="1:33" ht="7.15" customHeight="1">
      <c r="A4" s="146"/>
      <c r="B4" s="173"/>
      <c r="C4" s="146"/>
      <c r="D4" s="146"/>
      <c r="E4" s="71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71"/>
      <c r="Q4" s="146"/>
      <c r="R4" s="71"/>
      <c r="S4" s="156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146"/>
      <c r="AF4" s="71"/>
      <c r="AG4" s="71"/>
    </row>
    <row r="5" spans="1:33" s="13" customFormat="1" ht="21.4" customHeight="1">
      <c r="A5" s="956" t="s">
        <v>160</v>
      </c>
      <c r="B5" s="957"/>
      <c r="C5" s="958"/>
      <c r="D5" s="129"/>
      <c r="E5" s="123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3"/>
      <c r="Q5" s="129"/>
      <c r="R5" s="123"/>
      <c r="S5" s="156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129"/>
      <c r="AF5" s="123"/>
      <c r="AG5" s="123"/>
    </row>
    <row r="6" spans="1:33">
      <c r="A6" s="146"/>
      <c r="B6" s="173"/>
      <c r="C6" s="416"/>
      <c r="D6" s="146"/>
      <c r="E6" s="71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71"/>
      <c r="Q6" s="146"/>
      <c r="R6" s="71"/>
      <c r="S6" s="156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146"/>
      <c r="AF6" s="71"/>
      <c r="AG6" s="71"/>
    </row>
    <row r="7" spans="1:33" ht="57.75">
      <c r="A7" s="146"/>
      <c r="B7" s="539" t="s">
        <v>471</v>
      </c>
      <c r="C7" s="237" t="s">
        <v>19</v>
      </c>
      <c r="D7" s="223">
        <f>SUM(D8:D10)</f>
        <v>20000</v>
      </c>
      <c r="E7" s="71"/>
      <c r="F7" s="223">
        <f>SUM(F8:F10)</f>
        <v>10000</v>
      </c>
      <c r="G7" s="223">
        <f t="shared" ref="G7:M7" si="2">SUM(G8:G10)</f>
        <v>0</v>
      </c>
      <c r="H7" s="223">
        <f t="shared" si="2"/>
        <v>0</v>
      </c>
      <c r="I7" s="223">
        <f t="shared" si="2"/>
        <v>0</v>
      </c>
      <c r="J7" s="223">
        <f t="shared" si="2"/>
        <v>0</v>
      </c>
      <c r="K7" s="223">
        <f t="shared" si="2"/>
        <v>10000</v>
      </c>
      <c r="L7" s="223">
        <f t="shared" si="2"/>
        <v>0</v>
      </c>
      <c r="M7" s="223">
        <f t="shared" si="2"/>
        <v>0</v>
      </c>
      <c r="N7" s="223">
        <f>SUM(N8:N10)</f>
        <v>0</v>
      </c>
      <c r="O7" s="223">
        <f>SUM(O8:O10)</f>
        <v>0</v>
      </c>
      <c r="P7" s="71"/>
      <c r="Q7" s="146"/>
      <c r="R7" s="71"/>
      <c r="S7" s="156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146"/>
      <c r="AF7" s="353"/>
      <c r="AG7" s="536"/>
    </row>
    <row r="8" spans="1:33">
      <c r="A8" s="146"/>
      <c r="B8" s="173" t="s">
        <v>227</v>
      </c>
      <c r="C8" s="237" t="s">
        <v>19</v>
      </c>
      <c r="D8" s="240">
        <f>SUM(F8:O8)</f>
        <v>20000</v>
      </c>
      <c r="E8" s="71"/>
      <c r="F8" s="753">
        <v>10000</v>
      </c>
      <c r="G8" s="753"/>
      <c r="H8" s="753"/>
      <c r="I8" s="753"/>
      <c r="J8" s="753"/>
      <c r="K8" s="753">
        <v>10000</v>
      </c>
      <c r="L8" s="753"/>
      <c r="M8" s="753"/>
      <c r="N8" s="753"/>
      <c r="O8" s="753"/>
      <c r="P8" s="71"/>
      <c r="Q8" s="146"/>
      <c r="R8" s="71"/>
      <c r="S8" s="156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146"/>
      <c r="AF8" s="71"/>
      <c r="AG8" s="71"/>
    </row>
    <row r="9" spans="1:33">
      <c r="A9" s="146"/>
      <c r="B9" s="173" t="s">
        <v>228</v>
      </c>
      <c r="C9" s="237" t="s">
        <v>19</v>
      </c>
      <c r="D9" s="240">
        <f>SUM(F9:O9)</f>
        <v>0</v>
      </c>
      <c r="E9" s="71"/>
      <c r="F9" s="753"/>
      <c r="G9" s="753"/>
      <c r="H9" s="753">
        <v>0</v>
      </c>
      <c r="I9" s="753"/>
      <c r="J9" s="753"/>
      <c r="K9" s="753"/>
      <c r="L9" s="753"/>
      <c r="M9" s="753"/>
      <c r="N9" s="753"/>
      <c r="O9" s="753"/>
      <c r="P9" s="71"/>
      <c r="Q9" s="146"/>
      <c r="R9" s="71"/>
      <c r="S9" s="156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146"/>
      <c r="AF9" s="71"/>
      <c r="AG9" s="71"/>
    </row>
    <row r="10" spans="1:33">
      <c r="A10" s="146"/>
      <c r="B10" s="173" t="s">
        <v>229</v>
      </c>
      <c r="C10" s="237" t="s">
        <v>19</v>
      </c>
      <c r="D10" s="240">
        <f>SUM(F10:O10)</f>
        <v>0</v>
      </c>
      <c r="E10" s="71"/>
      <c r="F10" s="753">
        <v>0</v>
      </c>
      <c r="G10" s="753"/>
      <c r="H10" s="753"/>
      <c r="I10" s="753"/>
      <c r="J10" s="753"/>
      <c r="K10" s="753"/>
      <c r="L10" s="753"/>
      <c r="M10" s="753"/>
      <c r="N10" s="753"/>
      <c r="O10" s="753"/>
      <c r="P10" s="71"/>
      <c r="Q10" s="146"/>
      <c r="R10" s="71"/>
      <c r="S10" s="156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146"/>
      <c r="AF10" s="71"/>
      <c r="AG10" s="71"/>
    </row>
    <row r="11" spans="1:33">
      <c r="A11" s="146"/>
      <c r="B11" s="173"/>
      <c r="C11" s="416"/>
      <c r="D11" s="146"/>
      <c r="E11" s="71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71"/>
      <c r="Q11" s="146"/>
      <c r="R11" s="71"/>
      <c r="S11" s="156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146"/>
      <c r="AF11" s="71"/>
      <c r="AG11" s="71"/>
    </row>
    <row r="12" spans="1:33" ht="26.25">
      <c r="A12" s="146"/>
      <c r="B12" s="540" t="s">
        <v>230</v>
      </c>
      <c r="C12" s="237" t="s">
        <v>19</v>
      </c>
      <c r="D12" s="146"/>
      <c r="E12" s="71"/>
      <c r="F12" s="532">
        <f>F7</f>
        <v>10000</v>
      </c>
      <c r="G12" s="532">
        <f>F12+G7</f>
        <v>10000</v>
      </c>
      <c r="H12" s="532">
        <f t="shared" ref="H12:O12" si="3">G12+H7</f>
        <v>10000</v>
      </c>
      <c r="I12" s="532">
        <f t="shared" si="3"/>
        <v>10000</v>
      </c>
      <c r="J12" s="532">
        <f t="shared" si="3"/>
        <v>10000</v>
      </c>
      <c r="K12" s="532">
        <f t="shared" si="3"/>
        <v>20000</v>
      </c>
      <c r="L12" s="532">
        <f t="shared" si="3"/>
        <v>20000</v>
      </c>
      <c r="M12" s="532">
        <f t="shared" si="3"/>
        <v>20000</v>
      </c>
      <c r="N12" s="532">
        <f t="shared" si="3"/>
        <v>20000</v>
      </c>
      <c r="O12" s="532">
        <f t="shared" si="3"/>
        <v>20000</v>
      </c>
      <c r="P12" s="71"/>
      <c r="Q12" s="146"/>
      <c r="R12" s="71"/>
      <c r="S12" s="156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146"/>
      <c r="AF12" s="71"/>
      <c r="AG12" s="71"/>
    </row>
    <row r="13" spans="1:33" ht="38.25">
      <c r="A13" s="146"/>
      <c r="B13" s="862" t="s">
        <v>1144</v>
      </c>
      <c r="C13" s="237" t="s">
        <v>19</v>
      </c>
      <c r="D13" s="146">
        <f>SUM(F13:O13)</f>
        <v>0</v>
      </c>
      <c r="E13" s="71"/>
      <c r="F13" s="146">
        <v>0</v>
      </c>
      <c r="G13" s="146">
        <v>0</v>
      </c>
      <c r="H13" s="146">
        <v>0</v>
      </c>
      <c r="I13" s="146">
        <v>0</v>
      </c>
      <c r="J13" s="146">
        <v>0</v>
      </c>
      <c r="K13" s="146">
        <v>0</v>
      </c>
      <c r="L13" s="146">
        <v>0</v>
      </c>
      <c r="M13" s="146">
        <v>0</v>
      </c>
      <c r="N13" s="146">
        <v>0</v>
      </c>
      <c r="O13" s="146">
        <v>0</v>
      </c>
      <c r="P13" s="71"/>
      <c r="Q13" s="146"/>
      <c r="R13" s="71"/>
      <c r="S13" s="156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146"/>
      <c r="AF13" s="71"/>
      <c r="AG13" s="71"/>
    </row>
    <row r="14" spans="1:33" ht="15.75" thickBot="1">
      <c r="A14" s="132"/>
      <c r="B14" s="174"/>
      <c r="C14" s="187"/>
      <c r="D14" s="132"/>
      <c r="E14" s="71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71"/>
      <c r="Q14" s="132"/>
      <c r="R14" s="71"/>
      <c r="S14" s="156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132"/>
      <c r="AF14" s="71"/>
      <c r="AG14" s="71"/>
    </row>
    <row r="15" spans="1:33" ht="7.15" customHeight="1">
      <c r="A15" s="146"/>
      <c r="B15" s="173"/>
      <c r="C15" s="146"/>
      <c r="D15" s="146"/>
      <c r="E15" s="71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71"/>
      <c r="Q15" s="146"/>
      <c r="R15" s="71"/>
      <c r="S15" s="156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146"/>
      <c r="AF15" s="71"/>
      <c r="AG15" s="71"/>
    </row>
    <row r="16" spans="1:33" ht="15.75">
      <c r="A16" s="956" t="s">
        <v>219</v>
      </c>
      <c r="B16" s="957"/>
      <c r="C16" s="958"/>
      <c r="D16" s="129"/>
      <c r="E16" s="123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71"/>
      <c r="Q16" s="146"/>
      <c r="R16" s="71"/>
      <c r="S16" s="156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46"/>
      <c r="AF16" s="71"/>
      <c r="AG16" s="71"/>
    </row>
    <row r="17" spans="1:33">
      <c r="A17" s="537" t="str">
        <f t="array" aca="1" ref="A17" ca="1">HYPERLINK(CELL("адрес",БДДС!A59),"источник")</f>
        <v>источник</v>
      </c>
      <c r="B17" s="533" t="s">
        <v>168</v>
      </c>
      <c r="C17" s="237"/>
      <c r="D17" s="146"/>
      <c r="E17" s="71"/>
      <c r="F17" s="533">
        <f ca="1">БДДС!F59</f>
        <v>12472.356</v>
      </c>
      <c r="G17" s="533">
        <f ca="1">БДДС!G59</f>
        <v>18365.603936000014</v>
      </c>
      <c r="H17" s="533">
        <f ca="1">БДДС!H59</f>
        <v>28966.899356416077</v>
      </c>
      <c r="I17" s="533">
        <f ca="1">БДДС!I59</f>
        <v>45701.43314437542</v>
      </c>
      <c r="J17" s="533">
        <f ca="1">БДДС!J59</f>
        <v>65697.564788620453</v>
      </c>
      <c r="K17" s="533">
        <f ca="1">БДДС!K59</f>
        <v>95710.116005493619</v>
      </c>
      <c r="L17" s="533">
        <f ca="1">БДДС!L59</f>
        <v>115695.8717390841</v>
      </c>
      <c r="M17" s="533">
        <f ca="1">БДДС!M59</f>
        <v>135607.43150827097</v>
      </c>
      <c r="N17" s="533">
        <f ca="1">БДДС!N59</f>
        <v>155392.90440762817</v>
      </c>
      <c r="O17" s="533">
        <f ca="1">БДДС!O59</f>
        <v>174995.58420376916</v>
      </c>
      <c r="P17" s="71"/>
      <c r="Q17" s="146"/>
      <c r="R17" s="71"/>
      <c r="S17" s="156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146"/>
      <c r="AF17" s="71"/>
      <c r="AG17" s="71"/>
    </row>
    <row r="18" spans="1:33">
      <c r="A18" s="146"/>
      <c r="B18" s="173"/>
      <c r="C18" s="237"/>
      <c r="D18" s="146"/>
      <c r="E18" s="71"/>
      <c r="F18" s="533"/>
      <c r="G18" s="533"/>
      <c r="H18" s="533"/>
      <c r="I18" s="533"/>
      <c r="J18" s="533"/>
      <c r="K18" s="533"/>
      <c r="L18" s="533"/>
      <c r="M18" s="533"/>
      <c r="N18" s="533"/>
      <c r="O18" s="533"/>
      <c r="P18" s="71"/>
      <c r="Q18" s="146"/>
      <c r="R18" s="71"/>
      <c r="S18" s="156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146"/>
      <c r="AF18" s="71"/>
      <c r="AG18" s="71"/>
    </row>
    <row r="19" spans="1:33" ht="29.25">
      <c r="A19" s="146"/>
      <c r="B19" s="539" t="s">
        <v>170</v>
      </c>
      <c r="C19" s="237"/>
      <c r="D19" s="146"/>
      <c r="E19" s="71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71"/>
      <c r="Q19" s="146"/>
      <c r="R19" s="71"/>
      <c r="S19" s="156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146"/>
      <c r="AF19" s="71"/>
      <c r="AG19" s="71"/>
    </row>
    <row r="20" spans="1:33">
      <c r="A20" s="146"/>
      <c r="B20" s="173"/>
      <c r="C20" s="186"/>
      <c r="D20" s="137"/>
      <c r="E20" s="71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71"/>
      <c r="Q20" s="146"/>
      <c r="R20" s="71"/>
      <c r="S20" s="156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146"/>
      <c r="AF20" s="71"/>
      <c r="AG20" s="71"/>
    </row>
    <row r="21" spans="1:33" ht="30">
      <c r="A21" s="146"/>
      <c r="B21" s="173" t="s">
        <v>161</v>
      </c>
      <c r="C21" s="237" t="s">
        <v>19</v>
      </c>
      <c r="D21" s="508" t="s">
        <v>134</v>
      </c>
      <c r="E21" s="71"/>
      <c r="F21" s="515">
        <f ca="1">SUMIF($B$30:$B$100,$B$21,F$30:F$100)</f>
        <v>0</v>
      </c>
      <c r="G21" s="515">
        <f t="shared" ref="G21:O21" ca="1" si="4">F24</f>
        <v>0</v>
      </c>
      <c r="H21" s="515">
        <f t="shared" ca="1" si="4"/>
        <v>0</v>
      </c>
      <c r="I21" s="515">
        <f t="shared" ca="1" si="4"/>
        <v>0</v>
      </c>
      <c r="J21" s="515">
        <f t="shared" ca="1" si="4"/>
        <v>0</v>
      </c>
      <c r="K21" s="515">
        <f t="shared" ca="1" si="4"/>
        <v>0</v>
      </c>
      <c r="L21" s="515">
        <f t="shared" ca="1" si="4"/>
        <v>0</v>
      </c>
      <c r="M21" s="515">
        <f t="shared" ca="1" si="4"/>
        <v>0</v>
      </c>
      <c r="N21" s="515">
        <f t="shared" ca="1" si="4"/>
        <v>0</v>
      </c>
      <c r="O21" s="515">
        <f t="shared" ca="1" si="4"/>
        <v>0</v>
      </c>
      <c r="P21" s="71"/>
      <c r="Q21" s="146"/>
      <c r="R21" s="71"/>
      <c r="S21" s="156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146"/>
      <c r="AF21" s="71"/>
      <c r="AG21" s="71"/>
    </row>
    <row r="22" spans="1:33">
      <c r="A22" s="146"/>
      <c r="B22" s="173" t="s">
        <v>162</v>
      </c>
      <c r="C22" s="237" t="s">
        <v>19</v>
      </c>
      <c r="D22" s="240">
        <f ca="1">SUM(F22:O22)</f>
        <v>0</v>
      </c>
      <c r="E22" s="71"/>
      <c r="F22" s="515">
        <f ca="1">SUMIF($B$30:$B$100,$B$22,F$30:F$100)</f>
        <v>0</v>
      </c>
      <c r="G22" s="515">
        <f t="shared" ref="G22:O22" ca="1" si="5">SUMIF($B$30:$B$100,$B$22,G$30:G$100)</f>
        <v>0</v>
      </c>
      <c r="H22" s="515">
        <f t="shared" ca="1" si="5"/>
        <v>0</v>
      </c>
      <c r="I22" s="515">
        <f t="shared" ca="1" si="5"/>
        <v>0</v>
      </c>
      <c r="J22" s="515">
        <f t="shared" ca="1" si="5"/>
        <v>0</v>
      </c>
      <c r="K22" s="515">
        <f t="shared" ca="1" si="5"/>
        <v>0</v>
      </c>
      <c r="L22" s="515">
        <f t="shared" ca="1" si="5"/>
        <v>0</v>
      </c>
      <c r="M22" s="515">
        <f t="shared" ca="1" si="5"/>
        <v>0</v>
      </c>
      <c r="N22" s="515">
        <f t="shared" ca="1" si="5"/>
        <v>0</v>
      </c>
      <c r="O22" s="515">
        <f t="shared" ca="1" si="5"/>
        <v>0</v>
      </c>
      <c r="P22" s="71"/>
      <c r="Q22" s="146"/>
      <c r="R22" s="71"/>
      <c r="S22" s="156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146"/>
      <c r="AF22" s="353"/>
      <c r="AG22" s="536"/>
    </row>
    <row r="23" spans="1:33">
      <c r="A23" s="146"/>
      <c r="B23" s="173" t="s">
        <v>163</v>
      </c>
      <c r="C23" s="237" t="s">
        <v>19</v>
      </c>
      <c r="D23" s="240">
        <f ca="1">SUM(F23:O23)</f>
        <v>0</v>
      </c>
      <c r="E23" s="71"/>
      <c r="F23" s="515">
        <f ca="1">SUMIF($B$28:$B$100,$B$23,F$28:F$100)</f>
        <v>0</v>
      </c>
      <c r="G23" s="515">
        <f t="shared" ref="G23:O23" ca="1" si="6">SUMIF($B$28:$B$100,$B$23,G$28:G$100)</f>
        <v>0</v>
      </c>
      <c r="H23" s="515">
        <f t="shared" ca="1" si="6"/>
        <v>0</v>
      </c>
      <c r="I23" s="515">
        <f t="shared" ca="1" si="6"/>
        <v>0</v>
      </c>
      <c r="J23" s="515">
        <f t="shared" ca="1" si="6"/>
        <v>0</v>
      </c>
      <c r="K23" s="515">
        <f t="shared" ca="1" si="6"/>
        <v>0</v>
      </c>
      <c r="L23" s="515">
        <f t="shared" ca="1" si="6"/>
        <v>0</v>
      </c>
      <c r="M23" s="515">
        <f t="shared" ca="1" si="6"/>
        <v>0</v>
      </c>
      <c r="N23" s="515">
        <f t="shared" ca="1" si="6"/>
        <v>0</v>
      </c>
      <c r="O23" s="515">
        <f t="shared" ca="1" si="6"/>
        <v>0</v>
      </c>
      <c r="P23" s="71"/>
      <c r="Q23" s="146"/>
      <c r="R23" s="71"/>
      <c r="S23" s="156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146"/>
      <c r="AF23" s="71"/>
      <c r="AG23" s="71"/>
    </row>
    <row r="24" spans="1:33" ht="30">
      <c r="A24" s="146"/>
      <c r="B24" s="173" t="s">
        <v>164</v>
      </c>
      <c r="C24" s="237" t="s">
        <v>19</v>
      </c>
      <c r="D24" s="508" t="s">
        <v>134</v>
      </c>
      <c r="E24" s="71"/>
      <c r="F24" s="515">
        <f t="shared" ref="F24:O24" ca="1" si="7">F21+F22-F23</f>
        <v>0</v>
      </c>
      <c r="G24" s="515">
        <f t="shared" ca="1" si="7"/>
        <v>0</v>
      </c>
      <c r="H24" s="515">
        <f t="shared" ca="1" si="7"/>
        <v>0</v>
      </c>
      <c r="I24" s="515">
        <f t="shared" ca="1" si="7"/>
        <v>0</v>
      </c>
      <c r="J24" s="515">
        <f t="shared" ca="1" si="7"/>
        <v>0</v>
      </c>
      <c r="K24" s="515">
        <f t="shared" ca="1" si="7"/>
        <v>0</v>
      </c>
      <c r="L24" s="515">
        <f t="shared" ca="1" si="7"/>
        <v>0</v>
      </c>
      <c r="M24" s="515">
        <f t="shared" ca="1" si="7"/>
        <v>0</v>
      </c>
      <c r="N24" s="515">
        <f t="shared" ca="1" si="7"/>
        <v>0</v>
      </c>
      <c r="O24" s="515">
        <f t="shared" ca="1" si="7"/>
        <v>0</v>
      </c>
      <c r="P24" s="71"/>
      <c r="Q24" s="146"/>
      <c r="R24" s="71"/>
      <c r="S24" s="156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146"/>
      <c r="AF24" s="71"/>
      <c r="AG24" s="71"/>
    </row>
    <row r="25" spans="1:33">
      <c r="A25" s="146"/>
      <c r="B25" s="173" t="s">
        <v>165</v>
      </c>
      <c r="C25" s="237" t="s">
        <v>19</v>
      </c>
      <c r="D25" s="240">
        <f ca="1">SUM(F25:O25)</f>
        <v>0</v>
      </c>
      <c r="E25" s="71"/>
      <c r="F25" s="515">
        <f ca="1">SUMIF($B$30:$B$100,$B$25,F$30:F$100)</f>
        <v>0</v>
      </c>
      <c r="G25" s="515">
        <f t="shared" ref="G25:O25" ca="1" si="8">SUMIF($B$30:$B$100,$B$25,G$30:G$100)</f>
        <v>0</v>
      </c>
      <c r="H25" s="515">
        <f t="shared" ca="1" si="8"/>
        <v>0</v>
      </c>
      <c r="I25" s="515">
        <f t="shared" ca="1" si="8"/>
        <v>0</v>
      </c>
      <c r="J25" s="515">
        <f t="shared" ca="1" si="8"/>
        <v>0</v>
      </c>
      <c r="K25" s="515">
        <f t="shared" ca="1" si="8"/>
        <v>0</v>
      </c>
      <c r="L25" s="515">
        <f t="shared" ca="1" si="8"/>
        <v>0</v>
      </c>
      <c r="M25" s="515">
        <f t="shared" ca="1" si="8"/>
        <v>0</v>
      </c>
      <c r="N25" s="515">
        <f t="shared" ca="1" si="8"/>
        <v>0</v>
      </c>
      <c r="O25" s="515">
        <f t="shared" ca="1" si="8"/>
        <v>0</v>
      </c>
      <c r="P25" s="71"/>
      <c r="Q25" s="146"/>
      <c r="R25" s="71"/>
      <c r="S25" s="156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146"/>
      <c r="AF25" s="71"/>
      <c r="AG25" s="71"/>
    </row>
    <row r="26" spans="1:33">
      <c r="A26" s="146"/>
      <c r="B26" s="173" t="s">
        <v>166</v>
      </c>
      <c r="C26" s="237" t="s">
        <v>19</v>
      </c>
      <c r="D26" s="240">
        <f ca="1">SUM(F26:O26)</f>
        <v>0</v>
      </c>
      <c r="E26" s="71"/>
      <c r="F26" s="515">
        <f ca="1">SUMIF($B$30:$B$100,$B$26,F$30:F$100)</f>
        <v>0</v>
      </c>
      <c r="G26" s="515">
        <f t="shared" ref="G26:O26" ca="1" si="9">SUMIF($B$30:$B$100,$B$26,G$30:G$100)</f>
        <v>0</v>
      </c>
      <c r="H26" s="515">
        <f t="shared" ca="1" si="9"/>
        <v>0</v>
      </c>
      <c r="I26" s="515">
        <f t="shared" ca="1" si="9"/>
        <v>0</v>
      </c>
      <c r="J26" s="515">
        <f t="shared" ca="1" si="9"/>
        <v>0</v>
      </c>
      <c r="K26" s="515">
        <f t="shared" ca="1" si="9"/>
        <v>0</v>
      </c>
      <c r="L26" s="515">
        <f t="shared" ca="1" si="9"/>
        <v>0</v>
      </c>
      <c r="M26" s="515">
        <f t="shared" ca="1" si="9"/>
        <v>0</v>
      </c>
      <c r="N26" s="515">
        <f t="shared" ca="1" si="9"/>
        <v>0</v>
      </c>
      <c r="O26" s="515">
        <f t="shared" ca="1" si="9"/>
        <v>0</v>
      </c>
      <c r="P26" s="71"/>
      <c r="Q26" s="146"/>
      <c r="R26" s="71"/>
      <c r="S26" s="156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146"/>
      <c r="AF26" s="71"/>
      <c r="AG26" s="71"/>
    </row>
    <row r="27" spans="1:33">
      <c r="A27" s="146"/>
      <c r="B27" s="173"/>
      <c r="C27" s="237"/>
      <c r="D27" s="146"/>
      <c r="E27" s="71"/>
      <c r="F27" s="533"/>
      <c r="G27" s="533"/>
      <c r="H27" s="533"/>
      <c r="I27" s="533"/>
      <c r="J27" s="533"/>
      <c r="K27" s="533"/>
      <c r="L27" s="533"/>
      <c r="M27" s="533"/>
      <c r="N27" s="533"/>
      <c r="O27" s="533"/>
      <c r="P27" s="71"/>
      <c r="Q27" s="146"/>
      <c r="R27" s="71"/>
      <c r="S27" s="156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146"/>
      <c r="AF27" s="353"/>
      <c r="AG27" s="162"/>
    </row>
    <row r="28" spans="1:33">
      <c r="A28" s="538" t="s">
        <v>750</v>
      </c>
      <c r="B28" s="173"/>
      <c r="C28" s="237"/>
      <c r="D28" s="146"/>
      <c r="E28" s="71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71"/>
      <c r="Q28" s="146"/>
      <c r="R28" s="71"/>
      <c r="S28" s="156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146"/>
      <c r="AF28" s="71"/>
      <c r="AG28" s="71"/>
    </row>
    <row r="29" spans="1:33">
      <c r="A29" s="146"/>
      <c r="B29" s="520" t="s">
        <v>167</v>
      </c>
      <c r="C29" s="237"/>
      <c r="D29" s="146"/>
      <c r="E29" s="71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71"/>
      <c r="Q29" s="146"/>
      <c r="R29" s="71"/>
      <c r="S29" s="156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146"/>
      <c r="AF29" s="71"/>
      <c r="AG29" s="71"/>
    </row>
    <row r="30" spans="1:33">
      <c r="A30" s="356" t="str">
        <f t="array" aca="1" ref="A30" ca="1">HYPERLINK(CELL("адрес",Макро!A19),"источник")</f>
        <v>источник</v>
      </c>
      <c r="B30" s="173" t="s">
        <v>436</v>
      </c>
      <c r="C30" s="186" t="s">
        <v>27</v>
      </c>
      <c r="D30" s="137"/>
      <c r="E30" s="71"/>
      <c r="F30" s="272">
        <f>Макро!F19</f>
        <v>0.245</v>
      </c>
      <c r="G30" s="272">
        <f>Макро!G19</f>
        <v>0.245</v>
      </c>
      <c r="H30" s="272">
        <f>Макро!H19</f>
        <v>0.245</v>
      </c>
      <c r="I30" s="272">
        <f>Макро!I19</f>
        <v>0.245</v>
      </c>
      <c r="J30" s="272">
        <f>Макро!J19</f>
        <v>0.245</v>
      </c>
      <c r="K30" s="272">
        <f>Макро!K19</f>
        <v>0.245</v>
      </c>
      <c r="L30" s="272">
        <f>Макро!L19</f>
        <v>0.245</v>
      </c>
      <c r="M30" s="272">
        <f>Макро!M19</f>
        <v>0.245</v>
      </c>
      <c r="N30" s="272">
        <f>Макро!N19</f>
        <v>0.245</v>
      </c>
      <c r="O30" s="272">
        <f>Макро!O19</f>
        <v>0.245</v>
      </c>
      <c r="P30" s="71"/>
      <c r="Q30" s="146"/>
      <c r="R30" s="71"/>
      <c r="S30" s="156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146"/>
      <c r="AF30" s="71"/>
      <c r="AG30" s="71"/>
    </row>
    <row r="31" spans="1:33" ht="30">
      <c r="A31" s="146"/>
      <c r="B31" s="173" t="s">
        <v>161</v>
      </c>
      <c r="C31" s="237" t="s">
        <v>19</v>
      </c>
      <c r="D31" s="508" t="s">
        <v>134</v>
      </c>
      <c r="E31" s="71"/>
      <c r="F31" s="753">
        <v>0</v>
      </c>
      <c r="G31" s="226">
        <f t="shared" ref="G31:O31" si="10">F34</f>
        <v>0</v>
      </c>
      <c r="H31" s="226">
        <f t="shared" si="10"/>
        <v>0</v>
      </c>
      <c r="I31" s="226">
        <f t="shared" si="10"/>
        <v>0</v>
      </c>
      <c r="J31" s="226">
        <f t="shared" si="10"/>
        <v>0</v>
      </c>
      <c r="K31" s="226">
        <f t="shared" si="10"/>
        <v>0</v>
      </c>
      <c r="L31" s="226">
        <f t="shared" si="10"/>
        <v>0</v>
      </c>
      <c r="M31" s="226">
        <f t="shared" si="10"/>
        <v>0</v>
      </c>
      <c r="N31" s="226">
        <f t="shared" si="10"/>
        <v>0</v>
      </c>
      <c r="O31" s="226">
        <f t="shared" si="10"/>
        <v>0</v>
      </c>
      <c r="P31" s="71"/>
      <c r="Q31" s="146"/>
      <c r="R31" s="71"/>
      <c r="S31" s="156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146"/>
      <c r="AF31" s="71"/>
      <c r="AG31" s="71"/>
    </row>
    <row r="32" spans="1:33">
      <c r="A32" s="146"/>
      <c r="B32" s="173" t="s">
        <v>162</v>
      </c>
      <c r="C32" s="237" t="s">
        <v>19</v>
      </c>
      <c r="D32" s="240">
        <f>SUM(F32:O32)</f>
        <v>0</v>
      </c>
      <c r="E32" s="71"/>
      <c r="F32" s="753">
        <v>0</v>
      </c>
      <c r="G32" s="753">
        <v>0</v>
      </c>
      <c r="H32" s="753"/>
      <c r="I32" s="753"/>
      <c r="J32" s="753"/>
      <c r="K32" s="753"/>
      <c r="L32" s="753"/>
      <c r="M32" s="753"/>
      <c r="N32" s="753"/>
      <c r="O32" s="753"/>
      <c r="P32" s="71"/>
      <c r="Q32" s="146"/>
      <c r="R32" s="71"/>
      <c r="S32" s="156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146"/>
      <c r="AF32" s="71"/>
      <c r="AG32" s="71"/>
    </row>
    <row r="33" spans="1:31">
      <c r="A33" s="146"/>
      <c r="B33" s="173" t="s">
        <v>163</v>
      </c>
      <c r="C33" s="237" t="s">
        <v>19</v>
      </c>
      <c r="D33" s="240">
        <f>SUM(F33:O33)</f>
        <v>0</v>
      </c>
      <c r="E33" s="71"/>
      <c r="F33" s="753"/>
      <c r="G33" s="753">
        <f>G31/1</f>
        <v>0</v>
      </c>
      <c r="H33" s="753">
        <f>H31/8</f>
        <v>0</v>
      </c>
      <c r="I33" s="753">
        <f t="shared" ref="I33:O33" si="11">H33</f>
        <v>0</v>
      </c>
      <c r="J33" s="753">
        <f t="shared" si="11"/>
        <v>0</v>
      </c>
      <c r="K33" s="753">
        <f t="shared" si="11"/>
        <v>0</v>
      </c>
      <c r="L33" s="753">
        <f t="shared" si="11"/>
        <v>0</v>
      </c>
      <c r="M33" s="753">
        <f t="shared" si="11"/>
        <v>0</v>
      </c>
      <c r="N33" s="753">
        <f t="shared" si="11"/>
        <v>0</v>
      </c>
      <c r="O33" s="753">
        <f t="shared" si="11"/>
        <v>0</v>
      </c>
      <c r="P33" s="71"/>
      <c r="Q33" s="146"/>
      <c r="R33" s="71"/>
      <c r="S33" s="156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146"/>
    </row>
    <row r="34" spans="1:31" ht="30">
      <c r="A34" s="146"/>
      <c r="B34" s="173" t="s">
        <v>164</v>
      </c>
      <c r="C34" s="237" t="s">
        <v>19</v>
      </c>
      <c r="D34" s="508" t="s">
        <v>134</v>
      </c>
      <c r="E34" s="71"/>
      <c r="F34" s="226">
        <f t="shared" ref="F34:O34" si="12">F31+F32-F33</f>
        <v>0</v>
      </c>
      <c r="G34" s="226">
        <f t="shared" si="12"/>
        <v>0</v>
      </c>
      <c r="H34" s="226">
        <f t="shared" si="12"/>
        <v>0</v>
      </c>
      <c r="I34" s="226">
        <f t="shared" si="12"/>
        <v>0</v>
      </c>
      <c r="J34" s="226">
        <f t="shared" si="12"/>
        <v>0</v>
      </c>
      <c r="K34" s="226">
        <f t="shared" si="12"/>
        <v>0</v>
      </c>
      <c r="L34" s="226">
        <f t="shared" si="12"/>
        <v>0</v>
      </c>
      <c r="M34" s="226">
        <f t="shared" si="12"/>
        <v>0</v>
      </c>
      <c r="N34" s="226">
        <f t="shared" si="12"/>
        <v>0</v>
      </c>
      <c r="O34" s="226">
        <f t="shared" si="12"/>
        <v>0</v>
      </c>
      <c r="P34" s="71"/>
      <c r="Q34" s="146"/>
      <c r="R34" s="71"/>
      <c r="S34" s="156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146"/>
    </row>
    <row r="35" spans="1:31">
      <c r="A35" s="146"/>
      <c r="B35" s="173" t="s">
        <v>165</v>
      </c>
      <c r="C35" s="237" t="s">
        <v>19</v>
      </c>
      <c r="D35" s="240">
        <f>SUM(F35:O35)</f>
        <v>0</v>
      </c>
      <c r="E35" s="71"/>
      <c r="F35" s="226">
        <f t="shared" ref="F35:O35" si="13">(F31+F34)/2*F30</f>
        <v>0</v>
      </c>
      <c r="G35" s="226">
        <f t="shared" si="13"/>
        <v>0</v>
      </c>
      <c r="H35" s="226">
        <f t="shared" si="13"/>
        <v>0</v>
      </c>
      <c r="I35" s="226">
        <f t="shared" si="13"/>
        <v>0</v>
      </c>
      <c r="J35" s="226">
        <f t="shared" si="13"/>
        <v>0</v>
      </c>
      <c r="K35" s="226">
        <f t="shared" si="13"/>
        <v>0</v>
      </c>
      <c r="L35" s="226">
        <f t="shared" si="13"/>
        <v>0</v>
      </c>
      <c r="M35" s="226">
        <f t="shared" si="13"/>
        <v>0</v>
      </c>
      <c r="N35" s="226">
        <f t="shared" si="13"/>
        <v>0</v>
      </c>
      <c r="O35" s="226">
        <f t="shared" si="13"/>
        <v>0</v>
      </c>
      <c r="P35" s="71"/>
      <c r="Q35" s="146"/>
      <c r="R35" s="71"/>
      <c r="S35" s="156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146"/>
    </row>
    <row r="36" spans="1:31">
      <c r="A36" s="146"/>
      <c r="B36" s="173" t="s">
        <v>166</v>
      </c>
      <c r="C36" s="237" t="s">
        <v>19</v>
      </c>
      <c r="D36" s="240">
        <f>SUM(F36:O36)</f>
        <v>0</v>
      </c>
      <c r="E36" s="71"/>
      <c r="F36" s="226">
        <f t="shared" ref="F36:O36" si="14">F35</f>
        <v>0</v>
      </c>
      <c r="G36" s="226">
        <f t="shared" si="14"/>
        <v>0</v>
      </c>
      <c r="H36" s="226">
        <f t="shared" si="14"/>
        <v>0</v>
      </c>
      <c r="I36" s="226">
        <f t="shared" si="14"/>
        <v>0</v>
      </c>
      <c r="J36" s="226">
        <f t="shared" si="14"/>
        <v>0</v>
      </c>
      <c r="K36" s="226">
        <f t="shared" si="14"/>
        <v>0</v>
      </c>
      <c r="L36" s="226">
        <f t="shared" si="14"/>
        <v>0</v>
      </c>
      <c r="M36" s="226">
        <f t="shared" si="14"/>
        <v>0</v>
      </c>
      <c r="N36" s="226">
        <f t="shared" si="14"/>
        <v>0</v>
      </c>
      <c r="O36" s="226">
        <f t="shared" si="14"/>
        <v>0</v>
      </c>
      <c r="P36" s="71"/>
      <c r="Q36" s="146"/>
      <c r="R36" s="71"/>
      <c r="S36" s="156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146"/>
    </row>
    <row r="37" spans="1:31">
      <c r="A37" s="146"/>
      <c r="B37" s="173"/>
      <c r="C37" s="237"/>
      <c r="D37" s="146"/>
      <c r="E37" s="71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71"/>
      <c r="Q37" s="146"/>
      <c r="R37" s="71"/>
      <c r="S37" s="156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146"/>
    </row>
    <row r="38" spans="1:31">
      <c r="A38" s="356" t="str">
        <f t="array" aca="1" ref="A38" ca="1">HYPERLINK(CELL("адрес",Макро!A19),"источник")</f>
        <v>источник</v>
      </c>
      <c r="B38" s="520" t="s">
        <v>169</v>
      </c>
      <c r="C38" s="237"/>
      <c r="D38" s="146"/>
      <c r="E38" s="71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71"/>
      <c r="Q38" s="146"/>
      <c r="R38" s="71"/>
      <c r="S38" s="156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146"/>
    </row>
    <row r="39" spans="1:31">
      <c r="A39" s="146"/>
      <c r="B39" s="173" t="s">
        <v>436</v>
      </c>
      <c r="C39" s="186" t="s">
        <v>27</v>
      </c>
      <c r="D39" s="137"/>
      <c r="E39" s="71"/>
      <c r="F39" s="534">
        <f>Макро!F19</f>
        <v>0.245</v>
      </c>
      <c r="G39" s="534">
        <f>Макро!G19</f>
        <v>0.245</v>
      </c>
      <c r="H39" s="534">
        <f>Макро!H19</f>
        <v>0.245</v>
      </c>
      <c r="I39" s="534">
        <f>Макро!I19</f>
        <v>0.245</v>
      </c>
      <c r="J39" s="534">
        <f>Макро!J19</f>
        <v>0.245</v>
      </c>
      <c r="K39" s="534">
        <f>Макро!K19</f>
        <v>0.245</v>
      </c>
      <c r="L39" s="534">
        <f>Макро!L19</f>
        <v>0.245</v>
      </c>
      <c r="M39" s="534">
        <f>Макро!M19</f>
        <v>0.245</v>
      </c>
      <c r="N39" s="534">
        <f>Макро!N19</f>
        <v>0.245</v>
      </c>
      <c r="O39" s="534">
        <f>Макро!O19</f>
        <v>0.245</v>
      </c>
      <c r="P39" s="71"/>
      <c r="Q39" s="146"/>
      <c r="R39" s="71"/>
      <c r="S39" s="156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146"/>
    </row>
    <row r="40" spans="1:31" ht="30">
      <c r="A40" s="146"/>
      <c r="B40" s="173" t="s">
        <v>161</v>
      </c>
      <c r="C40" s="237" t="s">
        <v>19</v>
      </c>
      <c r="D40" s="508" t="s">
        <v>134</v>
      </c>
      <c r="E40" s="71"/>
      <c r="F40" s="753">
        <v>0</v>
      </c>
      <c r="G40" s="226">
        <f t="shared" ref="G40:O40" si="15">F43</f>
        <v>0</v>
      </c>
      <c r="H40" s="226">
        <f t="shared" si="15"/>
        <v>0</v>
      </c>
      <c r="I40" s="226">
        <f t="shared" si="15"/>
        <v>0</v>
      </c>
      <c r="J40" s="226">
        <f t="shared" si="15"/>
        <v>0</v>
      </c>
      <c r="K40" s="226">
        <f t="shared" si="15"/>
        <v>0</v>
      </c>
      <c r="L40" s="226">
        <f t="shared" si="15"/>
        <v>0</v>
      </c>
      <c r="M40" s="226">
        <f t="shared" si="15"/>
        <v>0</v>
      </c>
      <c r="N40" s="226">
        <f t="shared" si="15"/>
        <v>0</v>
      </c>
      <c r="O40" s="226">
        <f t="shared" si="15"/>
        <v>0</v>
      </c>
      <c r="P40" s="71"/>
      <c r="Q40" s="146"/>
      <c r="R40" s="71"/>
      <c r="S40" s="156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146"/>
    </row>
    <row r="41" spans="1:31">
      <c r="A41" s="146"/>
      <c r="B41" s="173" t="s">
        <v>162</v>
      </c>
      <c r="C41" s="237" t="s">
        <v>19</v>
      </c>
      <c r="D41" s="240">
        <f>SUM(F41:O41)</f>
        <v>0</v>
      </c>
      <c r="E41" s="71"/>
      <c r="F41" s="753"/>
      <c r="G41" s="753"/>
      <c r="H41" s="753"/>
      <c r="I41" s="753"/>
      <c r="J41" s="753"/>
      <c r="K41" s="753"/>
      <c r="L41" s="753"/>
      <c r="M41" s="753"/>
      <c r="N41" s="753"/>
      <c r="O41" s="753"/>
      <c r="P41" s="71"/>
      <c r="Q41" s="146"/>
      <c r="R41" s="71"/>
      <c r="S41" s="156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146"/>
    </row>
    <row r="42" spans="1:31">
      <c r="A42" s="146"/>
      <c r="B42" s="173" t="s">
        <v>163</v>
      </c>
      <c r="C42" s="237" t="s">
        <v>19</v>
      </c>
      <c r="D42" s="240">
        <f>SUM(F42:O42)</f>
        <v>0</v>
      </c>
      <c r="E42" s="71"/>
      <c r="F42" s="753"/>
      <c r="G42" s="753"/>
      <c r="H42" s="753"/>
      <c r="I42" s="753"/>
      <c r="J42" s="753"/>
      <c r="K42" s="753"/>
      <c r="L42" s="753"/>
      <c r="M42" s="753"/>
      <c r="N42" s="753"/>
      <c r="O42" s="753"/>
      <c r="P42" s="71"/>
      <c r="Q42" s="146"/>
      <c r="R42" s="71"/>
      <c r="S42" s="156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146"/>
    </row>
    <row r="43" spans="1:31" ht="30">
      <c r="A43" s="146"/>
      <c r="B43" s="173" t="s">
        <v>164</v>
      </c>
      <c r="C43" s="237" t="s">
        <v>19</v>
      </c>
      <c r="D43" s="508" t="s">
        <v>134</v>
      </c>
      <c r="E43" s="71"/>
      <c r="F43" s="226">
        <f t="shared" ref="F43:O43" si="16">F40+F41-F42</f>
        <v>0</v>
      </c>
      <c r="G43" s="226">
        <f t="shared" si="16"/>
        <v>0</v>
      </c>
      <c r="H43" s="226">
        <f t="shared" si="16"/>
        <v>0</v>
      </c>
      <c r="I43" s="226">
        <f t="shared" si="16"/>
        <v>0</v>
      </c>
      <c r="J43" s="226">
        <f t="shared" si="16"/>
        <v>0</v>
      </c>
      <c r="K43" s="226">
        <f t="shared" si="16"/>
        <v>0</v>
      </c>
      <c r="L43" s="226">
        <f t="shared" si="16"/>
        <v>0</v>
      </c>
      <c r="M43" s="226">
        <f t="shared" si="16"/>
        <v>0</v>
      </c>
      <c r="N43" s="226">
        <f t="shared" si="16"/>
        <v>0</v>
      </c>
      <c r="O43" s="226">
        <f t="shared" si="16"/>
        <v>0</v>
      </c>
      <c r="P43" s="71"/>
      <c r="Q43" s="146"/>
      <c r="R43" s="71"/>
      <c r="S43" s="156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146"/>
    </row>
    <row r="44" spans="1:31">
      <c r="A44" s="146"/>
      <c r="B44" s="173" t="s">
        <v>165</v>
      </c>
      <c r="C44" s="237" t="s">
        <v>19</v>
      </c>
      <c r="D44" s="240">
        <f>SUM(F44:O44)</f>
        <v>0</v>
      </c>
      <c r="E44" s="71"/>
      <c r="F44" s="226">
        <f t="shared" ref="F44:O44" si="17">(F40+F43)/2*F39</f>
        <v>0</v>
      </c>
      <c r="G44" s="226">
        <f t="shared" si="17"/>
        <v>0</v>
      </c>
      <c r="H44" s="226">
        <f t="shared" si="17"/>
        <v>0</v>
      </c>
      <c r="I44" s="226">
        <f t="shared" si="17"/>
        <v>0</v>
      </c>
      <c r="J44" s="226">
        <f t="shared" si="17"/>
        <v>0</v>
      </c>
      <c r="K44" s="226">
        <f t="shared" si="17"/>
        <v>0</v>
      </c>
      <c r="L44" s="226">
        <f t="shared" si="17"/>
        <v>0</v>
      </c>
      <c r="M44" s="226">
        <f t="shared" si="17"/>
        <v>0</v>
      </c>
      <c r="N44" s="226">
        <f t="shared" si="17"/>
        <v>0</v>
      </c>
      <c r="O44" s="226">
        <f t="shared" si="17"/>
        <v>0</v>
      </c>
      <c r="P44" s="71"/>
      <c r="Q44" s="146"/>
      <c r="R44" s="71"/>
      <c r="S44" s="156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146"/>
    </row>
    <row r="45" spans="1:31">
      <c r="A45" s="146"/>
      <c r="B45" s="173" t="s">
        <v>166</v>
      </c>
      <c r="C45" s="237" t="s">
        <v>19</v>
      </c>
      <c r="D45" s="240">
        <f>SUM(F45:O45)</f>
        <v>0</v>
      </c>
      <c r="E45" s="71"/>
      <c r="F45" s="226">
        <f t="shared" ref="F45:O45" si="18">F44</f>
        <v>0</v>
      </c>
      <c r="G45" s="226">
        <f t="shared" si="18"/>
        <v>0</v>
      </c>
      <c r="H45" s="226">
        <f t="shared" si="18"/>
        <v>0</v>
      </c>
      <c r="I45" s="226">
        <f t="shared" si="18"/>
        <v>0</v>
      </c>
      <c r="J45" s="226">
        <f t="shared" si="18"/>
        <v>0</v>
      </c>
      <c r="K45" s="226">
        <f t="shared" si="18"/>
        <v>0</v>
      </c>
      <c r="L45" s="226">
        <f t="shared" si="18"/>
        <v>0</v>
      </c>
      <c r="M45" s="226">
        <f t="shared" si="18"/>
        <v>0</v>
      </c>
      <c r="N45" s="226">
        <f t="shared" si="18"/>
        <v>0</v>
      </c>
      <c r="O45" s="226">
        <f t="shared" si="18"/>
        <v>0</v>
      </c>
      <c r="P45" s="71"/>
      <c r="Q45" s="146"/>
      <c r="R45" s="71"/>
      <c r="S45" s="156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146"/>
    </row>
    <row r="46" spans="1:31">
      <c r="A46" s="146"/>
      <c r="B46" s="173"/>
      <c r="C46" s="416"/>
      <c r="D46" s="146"/>
      <c r="E46" s="71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71"/>
      <c r="Q46" s="146"/>
      <c r="R46" s="71"/>
      <c r="S46" s="156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146"/>
    </row>
    <row r="47" spans="1:31">
      <c r="A47" s="146"/>
      <c r="B47" s="520" t="s">
        <v>220</v>
      </c>
      <c r="C47" s="237"/>
      <c r="D47" s="146"/>
      <c r="E47" s="71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71"/>
      <c r="Q47" s="146"/>
      <c r="R47" s="71"/>
      <c r="S47" s="156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146"/>
    </row>
    <row r="48" spans="1:31">
      <c r="A48" s="356" t="str">
        <f t="array" aca="1" ref="A48" ca="1">HYPERLINK(CELL("адрес",Макро!A19),"источник")</f>
        <v>источник</v>
      </c>
      <c r="B48" s="173" t="s">
        <v>436</v>
      </c>
      <c r="C48" s="186" t="s">
        <v>27</v>
      </c>
      <c r="D48" s="137"/>
      <c r="E48" s="71"/>
      <c r="F48" s="534">
        <f>Макро!F19</f>
        <v>0.245</v>
      </c>
      <c r="G48" s="534">
        <f>Макро!G19</f>
        <v>0.245</v>
      </c>
      <c r="H48" s="534">
        <f>Макро!H19</f>
        <v>0.245</v>
      </c>
      <c r="I48" s="534">
        <f>Макро!I19</f>
        <v>0.245</v>
      </c>
      <c r="J48" s="534">
        <f>Макро!J19</f>
        <v>0.245</v>
      </c>
      <c r="K48" s="534">
        <f>Макро!K19</f>
        <v>0.245</v>
      </c>
      <c r="L48" s="534">
        <f>Макро!L19</f>
        <v>0.245</v>
      </c>
      <c r="M48" s="534">
        <f>Макро!M19</f>
        <v>0.245</v>
      </c>
      <c r="N48" s="534">
        <f>Макро!N19</f>
        <v>0.245</v>
      </c>
      <c r="O48" s="534">
        <f>Макро!O19</f>
        <v>0.245</v>
      </c>
      <c r="P48" s="71"/>
      <c r="Q48" s="146"/>
      <c r="R48" s="71"/>
      <c r="S48" s="156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146"/>
    </row>
    <row r="49" spans="1:31" ht="30">
      <c r="A49" s="146"/>
      <c r="B49" s="173" t="s">
        <v>161</v>
      </c>
      <c r="C49" s="237" t="s">
        <v>19</v>
      </c>
      <c r="D49" s="508" t="s">
        <v>134</v>
      </c>
      <c r="E49" s="71"/>
      <c r="F49" s="753">
        <v>0</v>
      </c>
      <c r="G49" s="226">
        <f t="shared" ref="G49:O49" si="19">F52</f>
        <v>0</v>
      </c>
      <c r="H49" s="226">
        <f t="shared" si="19"/>
        <v>0</v>
      </c>
      <c r="I49" s="226">
        <f t="shared" si="19"/>
        <v>0</v>
      </c>
      <c r="J49" s="226">
        <f t="shared" si="19"/>
        <v>0</v>
      </c>
      <c r="K49" s="226">
        <f t="shared" si="19"/>
        <v>0</v>
      </c>
      <c r="L49" s="226">
        <f t="shared" si="19"/>
        <v>0</v>
      </c>
      <c r="M49" s="226">
        <f t="shared" si="19"/>
        <v>0</v>
      </c>
      <c r="N49" s="226">
        <f t="shared" si="19"/>
        <v>0</v>
      </c>
      <c r="O49" s="226">
        <f t="shared" si="19"/>
        <v>0</v>
      </c>
      <c r="P49" s="71"/>
      <c r="Q49" s="146"/>
      <c r="R49" s="71"/>
      <c r="S49" s="156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146"/>
    </row>
    <row r="50" spans="1:31">
      <c r="A50" s="146"/>
      <c r="B50" s="173" t="s">
        <v>162</v>
      </c>
      <c r="C50" s="237" t="s">
        <v>19</v>
      </c>
      <c r="D50" s="240">
        <f>SUM(F50:O50)</f>
        <v>0</v>
      </c>
      <c r="E50" s="71"/>
      <c r="F50" s="753"/>
      <c r="G50" s="753"/>
      <c r="H50" s="753"/>
      <c r="I50" s="753"/>
      <c r="J50" s="753"/>
      <c r="K50" s="753"/>
      <c r="L50" s="753"/>
      <c r="M50" s="753"/>
      <c r="N50" s="753"/>
      <c r="O50" s="753"/>
      <c r="P50" s="71"/>
      <c r="Q50" s="146"/>
      <c r="R50" s="71"/>
      <c r="S50" s="156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146"/>
    </row>
    <row r="51" spans="1:31">
      <c r="A51" s="146"/>
      <c r="B51" s="173" t="s">
        <v>163</v>
      </c>
      <c r="C51" s="237" t="s">
        <v>19</v>
      </c>
      <c r="D51" s="240">
        <f>SUM(F51:O51)</f>
        <v>0</v>
      </c>
      <c r="E51" s="71"/>
      <c r="F51" s="753"/>
      <c r="G51" s="753"/>
      <c r="H51" s="753"/>
      <c r="I51" s="753"/>
      <c r="J51" s="753"/>
      <c r="K51" s="753"/>
      <c r="L51" s="753"/>
      <c r="M51" s="753"/>
      <c r="N51" s="753"/>
      <c r="O51" s="753"/>
      <c r="P51" s="71"/>
      <c r="Q51" s="146"/>
      <c r="R51" s="71"/>
      <c r="S51" s="156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146"/>
    </row>
    <row r="52" spans="1:31" ht="30">
      <c r="A52" s="146"/>
      <c r="B52" s="173" t="s">
        <v>164</v>
      </c>
      <c r="C52" s="237" t="s">
        <v>19</v>
      </c>
      <c r="D52" s="508" t="s">
        <v>134</v>
      </c>
      <c r="E52" s="71"/>
      <c r="F52" s="226">
        <f t="shared" ref="F52:O52" si="20">F49+F50-F51</f>
        <v>0</v>
      </c>
      <c r="G52" s="226">
        <f t="shared" si="20"/>
        <v>0</v>
      </c>
      <c r="H52" s="226">
        <f t="shared" si="20"/>
        <v>0</v>
      </c>
      <c r="I52" s="226">
        <f t="shared" si="20"/>
        <v>0</v>
      </c>
      <c r="J52" s="226">
        <f t="shared" si="20"/>
        <v>0</v>
      </c>
      <c r="K52" s="226">
        <f t="shared" si="20"/>
        <v>0</v>
      </c>
      <c r="L52" s="226">
        <f t="shared" si="20"/>
        <v>0</v>
      </c>
      <c r="M52" s="226">
        <f t="shared" si="20"/>
        <v>0</v>
      </c>
      <c r="N52" s="226">
        <f t="shared" si="20"/>
        <v>0</v>
      </c>
      <c r="O52" s="226">
        <f t="shared" si="20"/>
        <v>0</v>
      </c>
      <c r="P52" s="71"/>
      <c r="Q52" s="146"/>
      <c r="R52" s="71"/>
      <c r="S52" s="156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146"/>
    </row>
    <row r="53" spans="1:31">
      <c r="A53" s="146"/>
      <c r="B53" s="173" t="s">
        <v>165</v>
      </c>
      <c r="C53" s="237" t="s">
        <v>19</v>
      </c>
      <c r="D53" s="240">
        <f>SUM(F53:O53)</f>
        <v>0</v>
      </c>
      <c r="E53" s="71"/>
      <c r="F53" s="226">
        <f t="shared" ref="F53:O53" si="21">(F49+F52)/2*F48</f>
        <v>0</v>
      </c>
      <c r="G53" s="226">
        <f t="shared" si="21"/>
        <v>0</v>
      </c>
      <c r="H53" s="226">
        <f t="shared" si="21"/>
        <v>0</v>
      </c>
      <c r="I53" s="226">
        <f t="shared" si="21"/>
        <v>0</v>
      </c>
      <c r="J53" s="226">
        <f t="shared" si="21"/>
        <v>0</v>
      </c>
      <c r="K53" s="226">
        <f t="shared" si="21"/>
        <v>0</v>
      </c>
      <c r="L53" s="226">
        <f t="shared" si="21"/>
        <v>0</v>
      </c>
      <c r="M53" s="226">
        <f t="shared" si="21"/>
        <v>0</v>
      </c>
      <c r="N53" s="226">
        <f t="shared" si="21"/>
        <v>0</v>
      </c>
      <c r="O53" s="226">
        <f t="shared" si="21"/>
        <v>0</v>
      </c>
      <c r="P53" s="71"/>
      <c r="Q53" s="146"/>
      <c r="R53" s="71"/>
      <c r="S53" s="156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146"/>
    </row>
    <row r="54" spans="1:31">
      <c r="A54" s="146"/>
      <c r="B54" s="173" t="s">
        <v>166</v>
      </c>
      <c r="C54" s="237" t="s">
        <v>19</v>
      </c>
      <c r="D54" s="240">
        <f>SUM(F54:O54)</f>
        <v>0</v>
      </c>
      <c r="E54" s="71"/>
      <c r="F54" s="226">
        <f t="shared" ref="F54:O54" si="22">F53</f>
        <v>0</v>
      </c>
      <c r="G54" s="226">
        <f t="shared" si="22"/>
        <v>0</v>
      </c>
      <c r="H54" s="226">
        <f t="shared" si="22"/>
        <v>0</v>
      </c>
      <c r="I54" s="226">
        <f t="shared" si="22"/>
        <v>0</v>
      </c>
      <c r="J54" s="226">
        <f t="shared" si="22"/>
        <v>0</v>
      </c>
      <c r="K54" s="226">
        <f t="shared" si="22"/>
        <v>0</v>
      </c>
      <c r="L54" s="226">
        <f t="shared" si="22"/>
        <v>0</v>
      </c>
      <c r="M54" s="226">
        <f t="shared" si="22"/>
        <v>0</v>
      </c>
      <c r="N54" s="226">
        <f t="shared" si="22"/>
        <v>0</v>
      </c>
      <c r="O54" s="226">
        <f t="shared" si="22"/>
        <v>0</v>
      </c>
      <c r="P54" s="71"/>
      <c r="Q54" s="146"/>
      <c r="R54" s="71"/>
      <c r="S54" s="156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146"/>
    </row>
    <row r="55" spans="1:31">
      <c r="A55" s="146"/>
      <c r="B55" s="173"/>
      <c r="C55" s="416"/>
      <c r="D55" s="146"/>
      <c r="E55" s="71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71"/>
      <c r="Q55" s="146"/>
      <c r="R55" s="71"/>
      <c r="S55" s="156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146"/>
    </row>
    <row r="56" spans="1:31">
      <c r="A56" s="146"/>
      <c r="B56" s="520" t="s">
        <v>221</v>
      </c>
      <c r="C56" s="237"/>
      <c r="D56" s="146"/>
      <c r="E56" s="71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71"/>
      <c r="Q56" s="146"/>
      <c r="R56" s="71"/>
      <c r="S56" s="156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146"/>
    </row>
    <row r="57" spans="1:31">
      <c r="A57" s="356" t="str">
        <f t="array" aca="1" ref="A57" ca="1">HYPERLINK(CELL("адрес",Макро!A19),"источник")</f>
        <v>источник</v>
      </c>
      <c r="B57" s="173" t="s">
        <v>436</v>
      </c>
      <c r="C57" s="186" t="s">
        <v>27</v>
      </c>
      <c r="D57" s="137"/>
      <c r="E57" s="71"/>
      <c r="F57" s="272">
        <f>Макро!F19</f>
        <v>0.245</v>
      </c>
      <c r="G57" s="272">
        <f>Макро!G19</f>
        <v>0.245</v>
      </c>
      <c r="H57" s="272">
        <f>Макро!H19</f>
        <v>0.245</v>
      </c>
      <c r="I57" s="272">
        <f>Макро!I19</f>
        <v>0.245</v>
      </c>
      <c r="J57" s="272">
        <f>Макро!J19</f>
        <v>0.245</v>
      </c>
      <c r="K57" s="272">
        <f>Макро!K19</f>
        <v>0.245</v>
      </c>
      <c r="L57" s="272">
        <f>Макро!L19</f>
        <v>0.245</v>
      </c>
      <c r="M57" s="272">
        <f>Макро!M19</f>
        <v>0.245</v>
      </c>
      <c r="N57" s="272">
        <f>Макро!N19</f>
        <v>0.245</v>
      </c>
      <c r="O57" s="272">
        <f>Макро!O19</f>
        <v>0.245</v>
      </c>
      <c r="P57" s="71"/>
      <c r="Q57" s="146"/>
      <c r="R57" s="71"/>
      <c r="S57" s="156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146"/>
    </row>
    <row r="58" spans="1:31" ht="30">
      <c r="A58" s="146"/>
      <c r="B58" s="173" t="s">
        <v>161</v>
      </c>
      <c r="C58" s="237" t="s">
        <v>19</v>
      </c>
      <c r="D58" s="508" t="s">
        <v>134</v>
      </c>
      <c r="E58" s="71"/>
      <c r="F58" s="753">
        <v>0</v>
      </c>
      <c r="G58" s="226">
        <f t="shared" ref="G58:O58" si="23">F61</f>
        <v>0</v>
      </c>
      <c r="H58" s="226">
        <f t="shared" si="23"/>
        <v>0</v>
      </c>
      <c r="I58" s="226">
        <f t="shared" si="23"/>
        <v>0</v>
      </c>
      <c r="J58" s="226">
        <f t="shared" si="23"/>
        <v>0</v>
      </c>
      <c r="K58" s="226">
        <f t="shared" si="23"/>
        <v>0</v>
      </c>
      <c r="L58" s="226">
        <f t="shared" si="23"/>
        <v>0</v>
      </c>
      <c r="M58" s="226">
        <f t="shared" si="23"/>
        <v>0</v>
      </c>
      <c r="N58" s="226">
        <f t="shared" si="23"/>
        <v>0</v>
      </c>
      <c r="O58" s="226">
        <f t="shared" si="23"/>
        <v>0</v>
      </c>
      <c r="P58" s="71"/>
      <c r="Q58" s="146"/>
      <c r="R58" s="71"/>
      <c r="S58" s="156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146"/>
    </row>
    <row r="59" spans="1:31">
      <c r="A59" s="146"/>
      <c r="B59" s="173" t="s">
        <v>162</v>
      </c>
      <c r="C59" s="237" t="s">
        <v>19</v>
      </c>
      <c r="D59" s="240">
        <f>SUM(F59:O59)</f>
        <v>0</v>
      </c>
      <c r="E59" s="71"/>
      <c r="F59" s="753"/>
      <c r="G59" s="753"/>
      <c r="H59" s="753"/>
      <c r="I59" s="753"/>
      <c r="J59" s="753"/>
      <c r="K59" s="753"/>
      <c r="L59" s="753"/>
      <c r="M59" s="753"/>
      <c r="N59" s="753"/>
      <c r="O59" s="753"/>
      <c r="P59" s="71"/>
      <c r="Q59" s="146"/>
      <c r="R59" s="71"/>
      <c r="S59" s="156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146"/>
    </row>
    <row r="60" spans="1:31">
      <c r="A60" s="146"/>
      <c r="B60" s="173" t="s">
        <v>163</v>
      </c>
      <c r="C60" s="237" t="s">
        <v>19</v>
      </c>
      <c r="D60" s="240">
        <f>SUM(F60:O60)</f>
        <v>0</v>
      </c>
      <c r="E60" s="71"/>
      <c r="F60" s="753"/>
      <c r="G60" s="753"/>
      <c r="H60" s="753"/>
      <c r="I60" s="753"/>
      <c r="J60" s="753"/>
      <c r="K60" s="753"/>
      <c r="L60" s="753"/>
      <c r="M60" s="753"/>
      <c r="N60" s="753"/>
      <c r="O60" s="753"/>
      <c r="P60" s="71"/>
      <c r="Q60" s="146"/>
      <c r="R60" s="71"/>
      <c r="S60" s="156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146"/>
    </row>
    <row r="61" spans="1:31" ht="30">
      <c r="A61" s="146"/>
      <c r="B61" s="173" t="s">
        <v>164</v>
      </c>
      <c r="C61" s="237" t="s">
        <v>19</v>
      </c>
      <c r="D61" s="508" t="s">
        <v>134</v>
      </c>
      <c r="E61" s="71"/>
      <c r="F61" s="226">
        <f t="shared" ref="F61:O61" si="24">F58+F59-F60</f>
        <v>0</v>
      </c>
      <c r="G61" s="226">
        <f t="shared" si="24"/>
        <v>0</v>
      </c>
      <c r="H61" s="226">
        <f t="shared" si="24"/>
        <v>0</v>
      </c>
      <c r="I61" s="226">
        <f t="shared" si="24"/>
        <v>0</v>
      </c>
      <c r="J61" s="226">
        <f t="shared" si="24"/>
        <v>0</v>
      </c>
      <c r="K61" s="226">
        <f t="shared" si="24"/>
        <v>0</v>
      </c>
      <c r="L61" s="226">
        <f t="shared" si="24"/>
        <v>0</v>
      </c>
      <c r="M61" s="226">
        <f t="shared" si="24"/>
        <v>0</v>
      </c>
      <c r="N61" s="226">
        <f t="shared" si="24"/>
        <v>0</v>
      </c>
      <c r="O61" s="226">
        <f t="shared" si="24"/>
        <v>0</v>
      </c>
      <c r="P61" s="71"/>
      <c r="Q61" s="146"/>
      <c r="R61" s="71"/>
      <c r="S61" s="156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146"/>
    </row>
    <row r="62" spans="1:31">
      <c r="A62" s="146"/>
      <c r="B62" s="173" t="s">
        <v>165</v>
      </c>
      <c r="C62" s="237" t="s">
        <v>19</v>
      </c>
      <c r="D62" s="240">
        <f>SUM(F62:O62)</f>
        <v>0</v>
      </c>
      <c r="E62" s="71"/>
      <c r="F62" s="226">
        <f t="shared" ref="F62:O62" si="25">(F58+F61)/2*F57</f>
        <v>0</v>
      </c>
      <c r="G62" s="226">
        <f t="shared" si="25"/>
        <v>0</v>
      </c>
      <c r="H62" s="226">
        <f t="shared" si="25"/>
        <v>0</v>
      </c>
      <c r="I62" s="226">
        <f t="shared" si="25"/>
        <v>0</v>
      </c>
      <c r="J62" s="226">
        <f t="shared" si="25"/>
        <v>0</v>
      </c>
      <c r="K62" s="226">
        <f t="shared" si="25"/>
        <v>0</v>
      </c>
      <c r="L62" s="226">
        <f t="shared" si="25"/>
        <v>0</v>
      </c>
      <c r="M62" s="226">
        <f t="shared" si="25"/>
        <v>0</v>
      </c>
      <c r="N62" s="226">
        <f t="shared" si="25"/>
        <v>0</v>
      </c>
      <c r="O62" s="226">
        <f t="shared" si="25"/>
        <v>0</v>
      </c>
      <c r="P62" s="71"/>
      <c r="Q62" s="146"/>
      <c r="R62" s="71"/>
      <c r="S62" s="156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146"/>
    </row>
    <row r="63" spans="1:31">
      <c r="A63" s="146"/>
      <c r="B63" s="173" t="s">
        <v>166</v>
      </c>
      <c r="C63" s="237" t="s">
        <v>19</v>
      </c>
      <c r="D63" s="240">
        <f>SUM(F63:O63)</f>
        <v>0</v>
      </c>
      <c r="E63" s="71"/>
      <c r="F63" s="226">
        <f t="shared" ref="F63:O63" si="26">F62</f>
        <v>0</v>
      </c>
      <c r="G63" s="226">
        <f t="shared" si="26"/>
        <v>0</v>
      </c>
      <c r="H63" s="226">
        <f t="shared" si="26"/>
        <v>0</v>
      </c>
      <c r="I63" s="226">
        <f t="shared" si="26"/>
        <v>0</v>
      </c>
      <c r="J63" s="226">
        <f t="shared" si="26"/>
        <v>0</v>
      </c>
      <c r="K63" s="226">
        <f t="shared" si="26"/>
        <v>0</v>
      </c>
      <c r="L63" s="226">
        <f t="shared" si="26"/>
        <v>0</v>
      </c>
      <c r="M63" s="226">
        <f t="shared" si="26"/>
        <v>0</v>
      </c>
      <c r="N63" s="226">
        <f t="shared" si="26"/>
        <v>0</v>
      </c>
      <c r="O63" s="226">
        <f t="shared" si="26"/>
        <v>0</v>
      </c>
      <c r="P63" s="71"/>
      <c r="Q63" s="146"/>
      <c r="R63" s="71"/>
      <c r="S63" s="156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146"/>
    </row>
    <row r="64" spans="1:31">
      <c r="A64" s="71"/>
      <c r="B64" s="173"/>
      <c r="C64" s="237"/>
      <c r="D64" s="240"/>
      <c r="E64" s="71"/>
      <c r="F64" s="353"/>
      <c r="G64" s="353"/>
      <c r="H64" s="353"/>
      <c r="I64" s="353"/>
      <c r="J64" s="353"/>
      <c r="K64" s="353"/>
      <c r="L64" s="353"/>
      <c r="M64" s="353"/>
      <c r="N64" s="353"/>
      <c r="O64" s="353"/>
      <c r="P64" s="71"/>
      <c r="Q64" s="71"/>
      <c r="R64" s="71"/>
      <c r="S64" s="156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</row>
    <row r="65" spans="1:31" ht="15.75" thickBot="1">
      <c r="A65" s="132"/>
      <c r="B65" s="174"/>
      <c r="C65" s="187"/>
      <c r="D65" s="132"/>
      <c r="E65" s="71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71"/>
      <c r="Q65" s="132"/>
      <c r="R65" s="71"/>
      <c r="S65" s="156"/>
      <c r="AE65" s="132"/>
    </row>
    <row r="67" spans="1:31">
      <c r="A67" s="71"/>
      <c r="B67" s="166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9" spans="1:31">
      <c r="A69" s="71"/>
      <c r="B69" s="169" t="str">
        <f t="array" aca="1" ref="B69" ca="1">HYPERLINK(CELL("адрес",БДР!$A$1),"Перейти на лист БДР")</f>
        <v>Перейти на лист БДР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1:31">
      <c r="A70" s="71"/>
      <c r="B70" s="169" t="str">
        <f t="array" aca="1" ref="B70" ca="1">HYPERLINK(CELL("адрес",БДДС!$A$1),"Перейти на лист БДДС")</f>
        <v>Перейти на лист БДДС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1:31">
      <c r="A71" s="71"/>
      <c r="B71" s="169" t="str">
        <f t="array" aca="1" ref="B71" ca="1">HYPERLINK(CELL("адрес",Баланс!$A$1),"Перейти на лист Баланс")</f>
        <v>Перейти на лист Баланс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1:31">
      <c r="A72" s="71"/>
      <c r="B72" s="364" t="str">
        <f t="array" aca="1" ref="B72" ca="1">HYPERLINK(CELL("адрес",Дашборд_ИтогТабл!$A$1),"Перейти на лист Дашборд_1")</f>
        <v>Перейти на лист Дашборд_1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1:31">
      <c r="A73" s="71"/>
      <c r="B73" s="364" t="str">
        <f t="array" aca="1" ref="B73" ca="1">HYPERLINK(CELL("адрес",Дашборд_Основной!$A$1),"Перейти на лист Дашборд_Общий")</f>
        <v>Перейти на лист Дашборд_Общий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1:31">
      <c r="A74" s="71"/>
      <c r="B74" s="364" t="str">
        <f t="array" aca="1" ref="B74" ca="1">HYPERLINK(CELL("адрес",Дашборд_налоги!$A$1),"Перейти на лист Дашборд_Налоги")</f>
        <v>Перейти на лист Дашборд_Налоги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</sheetData>
  <mergeCells count="2">
    <mergeCell ref="A5:C5"/>
    <mergeCell ref="A16:C16"/>
  </mergeCells>
  <hyperlinks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63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theme="9" tint="0.59999389629810485"/>
    <outlinePr summaryBelow="0" summaryRight="0"/>
    <pageSetUpPr fitToPage="1"/>
  </sheetPr>
  <dimension ref="A1:BZ67"/>
  <sheetViews>
    <sheetView zoomScaleNormal="100" workbookViewId="0">
      <pane xSplit="4" ySplit="3" topLeftCell="E4" activePane="bottomRight" state="frozen"/>
      <selection activeCell="L14" sqref="L14"/>
      <selection pane="topRight" activeCell="L14" sqref="L14"/>
      <selection pane="bottomLeft" activeCell="L14" sqref="L14"/>
      <selection pane="bottomRight" activeCell="K13" sqref="K13"/>
    </sheetView>
  </sheetViews>
  <sheetFormatPr defaultColWidth="0" defaultRowHeight="15" outlineLevelCol="1"/>
  <cols>
    <col min="1" max="1" width="8.42578125" customWidth="1"/>
    <col min="2" max="2" width="29.85546875" style="2" customWidth="1"/>
    <col min="3" max="3" width="11" customWidth="1"/>
    <col min="4" max="4" width="13.42578125" customWidth="1"/>
    <col min="5" max="5" width="2.28515625" customWidth="1"/>
    <col min="6" max="6" width="13.140625" customWidth="1"/>
    <col min="7" max="15" width="8.85546875" customWidth="1"/>
    <col min="16" max="16" width="1.140625" customWidth="1"/>
    <col min="17" max="17" width="13.42578125" customWidth="1"/>
    <col min="18" max="18" width="1.7109375" customWidth="1"/>
    <col min="19" max="19" width="2.85546875" customWidth="1" collapsed="1"/>
    <col min="20" max="29" width="8.85546875" hidden="1" customWidth="1" outlineLevel="1"/>
    <col min="30" max="30" width="1.5703125" customWidth="1"/>
    <col min="31" max="31" width="82.7109375" customWidth="1"/>
    <col min="32" max="34" width="8.85546875" customWidth="1"/>
    <col min="35" max="78" width="0" hidden="1" customWidth="1"/>
    <col min="79" max="16384" width="8.85546875" hidden="1"/>
  </cols>
  <sheetData>
    <row r="1" spans="1:31" ht="25.5">
      <c r="A1" s="651" t="s">
        <v>443</v>
      </c>
      <c r="B1" s="164"/>
      <c r="C1" s="71"/>
      <c r="D1" s="71"/>
      <c r="E1" s="71"/>
      <c r="F1" s="71"/>
      <c r="G1" s="71"/>
      <c r="H1" s="71"/>
      <c r="I1" s="151" t="str">
        <f ca="1">Контроль!$Q$1</f>
        <v>Ошибок нет</v>
      </c>
      <c r="J1" s="546"/>
      <c r="K1" s="71"/>
      <c r="L1" s="71"/>
      <c r="M1" s="71"/>
      <c r="N1" s="71"/>
      <c r="O1" s="71"/>
      <c r="P1" s="71"/>
      <c r="Q1" s="71"/>
      <c r="R1" s="71"/>
      <c r="S1" s="155" t="s">
        <v>181</v>
      </c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spans="1:31">
      <c r="A2" s="71" t="str">
        <f>Паспорт_ФМ_резидент!B7</f>
        <v>Разработка, производство, модернизация и реализация …</v>
      </c>
      <c r="B2" s="164"/>
      <c r="C2" s="71"/>
      <c r="D2" s="126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71"/>
      <c r="Q2" s="71"/>
      <c r="R2" s="71"/>
      <c r="S2" s="156"/>
      <c r="T2" s="159">
        <v>11</v>
      </c>
      <c r="U2" s="159">
        <f>T2+1</f>
        <v>12</v>
      </c>
      <c r="V2" s="126">
        <f>U2+1</f>
        <v>13</v>
      </c>
      <c r="W2" s="126">
        <f t="shared" ref="W2:AC3" si="0">V2+1</f>
        <v>14</v>
      </c>
      <c r="X2" s="126">
        <f t="shared" si="0"/>
        <v>15</v>
      </c>
      <c r="Y2" s="126">
        <f t="shared" si="0"/>
        <v>16</v>
      </c>
      <c r="Z2" s="126">
        <f t="shared" si="0"/>
        <v>17</v>
      </c>
      <c r="AA2" s="126">
        <f t="shared" si="0"/>
        <v>18</v>
      </c>
      <c r="AB2" s="126">
        <f t="shared" si="0"/>
        <v>19</v>
      </c>
      <c r="AC2" s="126">
        <f t="shared" si="0"/>
        <v>20</v>
      </c>
      <c r="AD2" s="71"/>
      <c r="AE2" s="71"/>
    </row>
    <row r="3" spans="1:31" s="18" customFormat="1" ht="28.5">
      <c r="A3" s="127" t="s">
        <v>2</v>
      </c>
      <c r="B3" s="230" t="s">
        <v>3</v>
      </c>
      <c r="C3" s="127" t="s">
        <v>12</v>
      </c>
      <c r="D3" s="194" t="str">
        <f>CONCATENATE("Итого ",F3,"-",O3)</f>
        <v>Итого 2025-2034</v>
      </c>
      <c r="E3" s="152"/>
      <c r="F3" s="766">
        <v>2025</v>
      </c>
      <c r="G3" s="127">
        <f t="shared" ref="G3:O3" si="1">F3+1</f>
        <v>2026</v>
      </c>
      <c r="H3" s="127">
        <f t="shared" si="1"/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152"/>
      <c r="Q3" s="127" t="s">
        <v>106</v>
      </c>
      <c r="R3" s="152"/>
      <c r="S3" s="157"/>
      <c r="T3" s="160">
        <v>2035</v>
      </c>
      <c r="U3" s="160">
        <f>T3+1</f>
        <v>2036</v>
      </c>
      <c r="V3" s="160">
        <f>U3+1</f>
        <v>2037</v>
      </c>
      <c r="W3" s="160">
        <f t="shared" si="0"/>
        <v>2038</v>
      </c>
      <c r="X3" s="160">
        <f t="shared" si="0"/>
        <v>2039</v>
      </c>
      <c r="Y3" s="160">
        <f t="shared" si="0"/>
        <v>2040</v>
      </c>
      <c r="Z3" s="160">
        <f t="shared" si="0"/>
        <v>2041</v>
      </c>
      <c r="AA3" s="160">
        <f t="shared" si="0"/>
        <v>2042</v>
      </c>
      <c r="AB3" s="160">
        <f t="shared" si="0"/>
        <v>2043</v>
      </c>
      <c r="AC3" s="160">
        <f t="shared" si="0"/>
        <v>2044</v>
      </c>
      <c r="AD3" s="152"/>
      <c r="AE3" s="230" t="s">
        <v>202</v>
      </c>
    </row>
    <row r="4" spans="1:31" ht="7.15" customHeight="1">
      <c r="A4" s="146"/>
      <c r="B4" s="173"/>
      <c r="C4" s="146"/>
      <c r="D4" s="146"/>
      <c r="E4" s="71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71"/>
      <c r="Q4" s="146"/>
      <c r="R4" s="71"/>
      <c r="S4" s="156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146"/>
    </row>
    <row r="5" spans="1:31">
      <c r="A5" s="537" t="str">
        <f t="array" aca="1" ref="A5" ca="1">HYPERLINK(CELL("адрес",БДДС!A59),"источник")</f>
        <v>источник</v>
      </c>
      <c r="B5" s="533" t="s">
        <v>168</v>
      </c>
      <c r="C5" s="416"/>
      <c r="D5" s="146"/>
      <c r="E5" s="71"/>
      <c r="F5" s="533">
        <f ca="1">БДДС!F59</f>
        <v>12472.356</v>
      </c>
      <c r="G5" s="533">
        <f ca="1">БДДС!G59</f>
        <v>18365.603936000014</v>
      </c>
      <c r="H5" s="533">
        <f ca="1">БДДС!H59</f>
        <v>28966.899356416077</v>
      </c>
      <c r="I5" s="533">
        <f ca="1">БДДС!I59</f>
        <v>45701.43314437542</v>
      </c>
      <c r="J5" s="533">
        <f ca="1">БДДС!J59</f>
        <v>65697.564788620453</v>
      </c>
      <c r="K5" s="533">
        <f ca="1">БДДС!K59</f>
        <v>95710.116005493619</v>
      </c>
      <c r="L5" s="533">
        <f ca="1">БДДС!L59</f>
        <v>115695.8717390841</v>
      </c>
      <c r="M5" s="533">
        <f ca="1">БДДС!M59</f>
        <v>135607.43150827097</v>
      </c>
      <c r="N5" s="533">
        <f ca="1">БДДС!N59</f>
        <v>155392.90440762817</v>
      </c>
      <c r="O5" s="533">
        <f ca="1">БДДС!O59</f>
        <v>174995.58420376916</v>
      </c>
      <c r="P5" s="71"/>
      <c r="Q5" s="146"/>
      <c r="R5" s="71"/>
      <c r="S5" s="156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146"/>
    </row>
    <row r="6" spans="1:31">
      <c r="A6" s="71"/>
      <c r="B6" s="548"/>
      <c r="C6" s="556"/>
      <c r="D6" s="556"/>
      <c r="E6" s="71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71"/>
      <c r="Q6" s="71"/>
      <c r="R6" s="71"/>
      <c r="S6" s="156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</row>
    <row r="7" spans="1:31" ht="28.5">
      <c r="A7" s="510"/>
      <c r="B7" s="510" t="s">
        <v>446</v>
      </c>
      <c r="C7" s="510"/>
      <c r="D7" s="510"/>
      <c r="E7" s="71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71"/>
      <c r="Q7" s="71"/>
      <c r="R7" s="71"/>
      <c r="S7" s="156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146" t="s">
        <v>214</v>
      </c>
    </row>
    <row r="8" spans="1:31" ht="21" customHeight="1">
      <c r="A8" s="71"/>
      <c r="B8" s="549" t="s">
        <v>444</v>
      </c>
      <c r="C8" s="530" t="s">
        <v>19</v>
      </c>
      <c r="D8" s="557">
        <f>SUM(F8:O8)</f>
        <v>1558629.0695994112</v>
      </c>
      <c r="E8" s="71"/>
      <c r="F8" s="512">
        <f t="shared" ref="F8:O8" si="2">SUMIF($B$15:$B$48,$B$15,F$15:F$48)</f>
        <v>110000</v>
      </c>
      <c r="G8" s="512">
        <f t="shared" si="2"/>
        <v>120640</v>
      </c>
      <c r="H8" s="512">
        <f t="shared" si="2"/>
        <v>131955.20000000001</v>
      </c>
      <c r="I8" s="512">
        <f t="shared" si="2"/>
        <v>148482.04800000004</v>
      </c>
      <c r="J8" s="512">
        <f t="shared" si="2"/>
        <v>157930.90560000006</v>
      </c>
      <c r="K8" s="512">
        <f t="shared" si="2"/>
        <v>164248.14182400005</v>
      </c>
      <c r="L8" s="512">
        <f t="shared" si="2"/>
        <v>170818.06749696005</v>
      </c>
      <c r="M8" s="512">
        <f t="shared" si="2"/>
        <v>177650.79019683844</v>
      </c>
      <c r="N8" s="512">
        <f t="shared" si="2"/>
        <v>184756.82180471197</v>
      </c>
      <c r="O8" s="512">
        <f t="shared" si="2"/>
        <v>192147.09467690048</v>
      </c>
      <c r="P8" s="71"/>
      <c r="Q8" s="71"/>
      <c r="R8" s="71"/>
      <c r="S8" s="156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</row>
    <row r="9" spans="1:31" ht="21" customHeight="1">
      <c r="A9" s="480" t="str">
        <f t="array" aca="1" ref="A9" ca="1">HYPERLINK(CELL("адрес",Макро!$B$31),"источник")</f>
        <v>источник</v>
      </c>
      <c r="B9" s="550" t="s">
        <v>172</v>
      </c>
      <c r="C9" s="416" t="s">
        <v>19</v>
      </c>
      <c r="D9" s="240">
        <f>SUM(F9:O9)</f>
        <v>77931.453479970573</v>
      </c>
      <c r="E9" s="71"/>
      <c r="F9" s="541">
        <f>F8*Макро!F32</f>
        <v>5500</v>
      </c>
      <c r="G9" s="541">
        <f>G8*Макро!G32</f>
        <v>6032</v>
      </c>
      <c r="H9" s="541">
        <f>H8*Макро!H32</f>
        <v>6597.7600000000011</v>
      </c>
      <c r="I9" s="541">
        <f>I8*Макро!I32</f>
        <v>7424.1024000000025</v>
      </c>
      <c r="J9" s="541">
        <f>J8*Макро!J32</f>
        <v>7896.545280000003</v>
      </c>
      <c r="K9" s="541">
        <f>K8*Макро!K32</f>
        <v>8212.4070912000025</v>
      </c>
      <c r="L9" s="541">
        <f>L8*Макро!L32</f>
        <v>8540.9033748480033</v>
      </c>
      <c r="M9" s="541">
        <f>M8*Макро!M32</f>
        <v>8882.5395098419231</v>
      </c>
      <c r="N9" s="541">
        <f>N8*Макро!N32</f>
        <v>9237.841090235599</v>
      </c>
      <c r="O9" s="541">
        <f>O8*Макро!O32</f>
        <v>9607.3547338450244</v>
      </c>
      <c r="P9" s="71"/>
      <c r="Q9" s="71"/>
      <c r="R9" s="71"/>
      <c r="S9" s="156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</row>
    <row r="10" spans="1:31" ht="21" customHeight="1">
      <c r="A10" s="71"/>
      <c r="B10" s="550" t="s">
        <v>445</v>
      </c>
      <c r="C10" s="416" t="s">
        <v>19</v>
      </c>
      <c r="D10" s="240">
        <f>SUM(F10:O10)</f>
        <v>1636560.5230793813</v>
      </c>
      <c r="E10" s="71"/>
      <c r="F10" s="541">
        <f>F8+F9</f>
        <v>115500</v>
      </c>
      <c r="G10" s="541">
        <f t="shared" ref="G10:O10" si="3">G8+G9</f>
        <v>126672</v>
      </c>
      <c r="H10" s="541">
        <f t="shared" si="3"/>
        <v>138552.96000000002</v>
      </c>
      <c r="I10" s="541">
        <f t="shared" si="3"/>
        <v>155906.15040000004</v>
      </c>
      <c r="J10" s="541">
        <f t="shared" si="3"/>
        <v>165827.45088000005</v>
      </c>
      <c r="K10" s="541">
        <f t="shared" si="3"/>
        <v>172460.54891520005</v>
      </c>
      <c r="L10" s="541">
        <f t="shared" si="3"/>
        <v>179358.97087180807</v>
      </c>
      <c r="M10" s="541">
        <f t="shared" si="3"/>
        <v>186533.32970668035</v>
      </c>
      <c r="N10" s="541">
        <f t="shared" si="3"/>
        <v>193994.66289494757</v>
      </c>
      <c r="O10" s="541">
        <f t="shared" si="3"/>
        <v>201754.4494107455</v>
      </c>
      <c r="P10" s="71"/>
      <c r="Q10" s="71"/>
      <c r="R10" s="71"/>
      <c r="S10" s="156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</row>
    <row r="11" spans="1:31">
      <c r="A11" s="146"/>
      <c r="B11" s="173"/>
      <c r="C11" s="146"/>
      <c r="D11" s="146"/>
      <c r="E11" s="71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71"/>
      <c r="Q11" s="146"/>
      <c r="R11" s="71"/>
      <c r="S11" s="156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146"/>
    </row>
    <row r="12" spans="1:31">
      <c r="A12" s="146"/>
      <c r="B12" s="551" t="s">
        <v>171</v>
      </c>
      <c r="C12" s="483"/>
      <c r="D12" s="483"/>
      <c r="E12" s="420"/>
      <c r="F12" s="533">
        <f>F9</f>
        <v>5500</v>
      </c>
      <c r="G12" s="533">
        <f>F12+G9</f>
        <v>11532</v>
      </c>
      <c r="H12" s="533">
        <f t="shared" ref="H12:O12" si="4">G12+H9</f>
        <v>18129.760000000002</v>
      </c>
      <c r="I12" s="533">
        <f t="shared" si="4"/>
        <v>25553.862400000005</v>
      </c>
      <c r="J12" s="533">
        <f t="shared" si="4"/>
        <v>33450.407680000011</v>
      </c>
      <c r="K12" s="533">
        <f t="shared" si="4"/>
        <v>41662.814771200014</v>
      </c>
      <c r="L12" s="533">
        <f t="shared" si="4"/>
        <v>50203.718146048021</v>
      </c>
      <c r="M12" s="533">
        <f t="shared" si="4"/>
        <v>59086.257655889945</v>
      </c>
      <c r="N12" s="533">
        <f t="shared" si="4"/>
        <v>68324.098746125543</v>
      </c>
      <c r="O12" s="533">
        <f t="shared" si="4"/>
        <v>77931.453479970573</v>
      </c>
      <c r="P12" s="71"/>
      <c r="Q12" s="146"/>
      <c r="R12" s="71"/>
      <c r="S12" s="156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146"/>
    </row>
    <row r="13" spans="1:31">
      <c r="A13" s="146"/>
      <c r="B13" s="173"/>
      <c r="C13" s="146"/>
      <c r="D13" s="146"/>
      <c r="E13" s="71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71"/>
      <c r="Q13" s="146"/>
      <c r="R13" s="71"/>
      <c r="S13" s="156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146"/>
    </row>
    <row r="14" spans="1:31">
      <c r="A14" s="520"/>
      <c r="B14" s="514" t="s">
        <v>209</v>
      </c>
      <c r="C14" s="514"/>
      <c r="D14" s="514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156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</row>
    <row r="15" spans="1:31">
      <c r="A15" s="146"/>
      <c r="B15" s="552" t="s">
        <v>444</v>
      </c>
      <c r="C15" s="416" t="s">
        <v>19</v>
      </c>
      <c r="D15" s="240">
        <f>SUM(F15:O15)</f>
        <v>430788.284918344</v>
      </c>
      <c r="E15" s="71"/>
      <c r="F15" s="223">
        <f>F16*F17</f>
        <v>18000</v>
      </c>
      <c r="G15" s="223">
        <f t="shared" ref="G15:O15" si="5">G16*G17</f>
        <v>24960</v>
      </c>
      <c r="H15" s="223">
        <f t="shared" si="5"/>
        <v>32448.000000000004</v>
      </c>
      <c r="I15" s="223">
        <f t="shared" si="5"/>
        <v>44994.560000000012</v>
      </c>
      <c r="J15" s="223">
        <f t="shared" si="5"/>
        <v>46794.342400000016</v>
      </c>
      <c r="K15" s="223">
        <f t="shared" si="5"/>
        <v>48666.116096000012</v>
      </c>
      <c r="L15" s="223">
        <f t="shared" si="5"/>
        <v>50612.760739840014</v>
      </c>
      <c r="M15" s="223">
        <f t="shared" si="5"/>
        <v>52637.271169433618</v>
      </c>
      <c r="N15" s="223">
        <f t="shared" si="5"/>
        <v>54742.762016210967</v>
      </c>
      <c r="O15" s="223">
        <f t="shared" si="5"/>
        <v>56932.472496859402</v>
      </c>
      <c r="P15" s="71"/>
      <c r="Q15" s="71"/>
      <c r="R15" s="71"/>
      <c r="S15" s="156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</row>
    <row r="16" spans="1:31" ht="30">
      <c r="A16" s="146"/>
      <c r="B16" s="553" t="s">
        <v>141</v>
      </c>
      <c r="C16" s="238" t="s">
        <v>113</v>
      </c>
      <c r="D16" s="146"/>
      <c r="E16" s="71"/>
      <c r="F16" s="754">
        <v>2000</v>
      </c>
      <c r="G16" s="754">
        <v>2080</v>
      </c>
      <c r="H16" s="754">
        <v>2163.2000000000003</v>
      </c>
      <c r="I16" s="754">
        <v>2249.7280000000005</v>
      </c>
      <c r="J16" s="754">
        <v>2339.7171200000007</v>
      </c>
      <c r="K16" s="754">
        <v>2433.3058048000007</v>
      </c>
      <c r="L16" s="754">
        <v>2530.6380369920007</v>
      </c>
      <c r="M16" s="754">
        <v>2631.8635584716808</v>
      </c>
      <c r="N16" s="754">
        <v>2737.1381008105482</v>
      </c>
      <c r="O16" s="754">
        <v>2846.62362484297</v>
      </c>
      <c r="P16" s="71"/>
      <c r="Q16" s="146"/>
      <c r="R16" s="71"/>
      <c r="S16" s="156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68" t="s">
        <v>1107</v>
      </c>
    </row>
    <row r="17" spans="1:31">
      <c r="A17" s="146"/>
      <c r="B17" s="553" t="s">
        <v>114</v>
      </c>
      <c r="C17" s="238" t="s">
        <v>115</v>
      </c>
      <c r="D17" s="242">
        <f>SUM(F17:O17)</f>
        <v>176</v>
      </c>
      <c r="E17" s="71"/>
      <c r="F17" s="753">
        <v>9</v>
      </c>
      <c r="G17" s="753">
        <v>12</v>
      </c>
      <c r="H17" s="753">
        <v>15</v>
      </c>
      <c r="I17" s="753">
        <v>20</v>
      </c>
      <c r="J17" s="753">
        <v>20</v>
      </c>
      <c r="K17" s="753">
        <v>20</v>
      </c>
      <c r="L17" s="753">
        <v>20</v>
      </c>
      <c r="M17" s="753">
        <v>20</v>
      </c>
      <c r="N17" s="753">
        <v>20</v>
      </c>
      <c r="O17" s="753">
        <v>20</v>
      </c>
      <c r="P17" s="71"/>
      <c r="Q17" s="71"/>
      <c r="R17" s="71"/>
      <c r="S17" s="156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68" t="s">
        <v>1108</v>
      </c>
    </row>
    <row r="18" spans="1:31" ht="45">
      <c r="A18" s="146"/>
      <c r="B18" s="553" t="s">
        <v>125</v>
      </c>
      <c r="C18" s="238" t="s">
        <v>116</v>
      </c>
      <c r="D18" s="242"/>
      <c r="E18" s="71"/>
      <c r="F18" s="817">
        <v>1</v>
      </c>
      <c r="G18" s="816">
        <f>F18</f>
        <v>1</v>
      </c>
      <c r="H18" s="816">
        <f>G18</f>
        <v>1</v>
      </c>
      <c r="I18" s="816">
        <f>H18</f>
        <v>1</v>
      </c>
      <c r="J18" s="547">
        <f t="shared" ref="J18:O18" si="6">I18</f>
        <v>1</v>
      </c>
      <c r="K18" s="547">
        <f t="shared" si="6"/>
        <v>1</v>
      </c>
      <c r="L18" s="547">
        <f t="shared" si="6"/>
        <v>1</v>
      </c>
      <c r="M18" s="547">
        <f t="shared" si="6"/>
        <v>1</v>
      </c>
      <c r="N18" s="547">
        <f t="shared" si="6"/>
        <v>1</v>
      </c>
      <c r="O18" s="547">
        <f t="shared" si="6"/>
        <v>1</v>
      </c>
      <c r="P18" s="71"/>
      <c r="Q18" s="146"/>
      <c r="R18" s="71"/>
      <c r="S18" s="156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146"/>
    </row>
    <row r="19" spans="1:31">
      <c r="A19" s="146"/>
      <c r="B19" s="173"/>
      <c r="C19" s="146"/>
      <c r="D19" s="146"/>
      <c r="E19" s="71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71"/>
      <c r="Q19" s="146"/>
      <c r="R19" s="71"/>
      <c r="S19" s="156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146"/>
    </row>
    <row r="20" spans="1:31">
      <c r="A20" s="520"/>
      <c r="B20" s="514" t="s">
        <v>210</v>
      </c>
      <c r="C20" s="514"/>
      <c r="D20" s="514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156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</row>
    <row r="21" spans="1:31">
      <c r="A21" s="146"/>
      <c r="B21" s="552" t="s">
        <v>444</v>
      </c>
      <c r="C21" s="416" t="s">
        <v>19</v>
      </c>
      <c r="D21" s="240">
        <f>SUM(F21:O21)</f>
        <v>240122.14245917197</v>
      </c>
      <c r="E21" s="71"/>
      <c r="F21" s="223">
        <f>F22*F23</f>
        <v>20000</v>
      </c>
      <c r="G21" s="223">
        <f t="shared" ref="G21:O21" si="7">G22*G23</f>
        <v>20800</v>
      </c>
      <c r="H21" s="223">
        <f t="shared" si="7"/>
        <v>21632</v>
      </c>
      <c r="I21" s="223">
        <f t="shared" si="7"/>
        <v>22497.279999999999</v>
      </c>
      <c r="J21" s="223">
        <f t="shared" si="7"/>
        <v>23397.171200000004</v>
      </c>
      <c r="K21" s="223">
        <f t="shared" si="7"/>
        <v>24333.058048000003</v>
      </c>
      <c r="L21" s="223">
        <f t="shared" si="7"/>
        <v>25306.380369920003</v>
      </c>
      <c r="M21" s="223">
        <f t="shared" si="7"/>
        <v>26318.635584716805</v>
      </c>
      <c r="N21" s="223">
        <f t="shared" si="7"/>
        <v>27371.381008105476</v>
      </c>
      <c r="O21" s="223">
        <f t="shared" si="7"/>
        <v>28466.236248429697</v>
      </c>
      <c r="P21" s="71"/>
      <c r="Q21" s="71"/>
      <c r="R21" s="71"/>
      <c r="S21" s="156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</row>
    <row r="22" spans="1:31" ht="30">
      <c r="A22" s="146"/>
      <c r="B22" s="553" t="s">
        <v>142</v>
      </c>
      <c r="C22" s="238" t="s">
        <v>113</v>
      </c>
      <c r="D22" s="146"/>
      <c r="E22" s="71"/>
      <c r="F22" s="754">
        <v>100</v>
      </c>
      <c r="G22" s="754">
        <v>104</v>
      </c>
      <c r="H22" s="754">
        <v>108.16</v>
      </c>
      <c r="I22" s="754">
        <v>112.4864</v>
      </c>
      <c r="J22" s="754">
        <v>116.98585600000001</v>
      </c>
      <c r="K22" s="754">
        <v>121.66529024000002</v>
      </c>
      <c r="L22" s="754">
        <v>126.53190184960002</v>
      </c>
      <c r="M22" s="754">
        <v>131.59317792358402</v>
      </c>
      <c r="N22" s="754">
        <v>136.85690504052738</v>
      </c>
      <c r="O22" s="754">
        <v>142.33118124214849</v>
      </c>
      <c r="P22" s="71"/>
      <c r="Q22" s="146"/>
      <c r="R22" s="71"/>
      <c r="S22" s="156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146"/>
    </row>
    <row r="23" spans="1:31">
      <c r="A23" s="146"/>
      <c r="B23" s="553" t="s">
        <v>121</v>
      </c>
      <c r="C23" s="238" t="s">
        <v>115</v>
      </c>
      <c r="D23" s="242">
        <f>SUM(F23:O23)</f>
        <v>2000</v>
      </c>
      <c r="E23" s="71"/>
      <c r="F23" s="753">
        <v>200</v>
      </c>
      <c r="G23" s="753">
        <v>200</v>
      </c>
      <c r="H23" s="753">
        <v>200</v>
      </c>
      <c r="I23" s="753">
        <v>200</v>
      </c>
      <c r="J23" s="753">
        <v>200</v>
      </c>
      <c r="K23" s="753">
        <v>200</v>
      </c>
      <c r="L23" s="753">
        <v>200</v>
      </c>
      <c r="M23" s="753">
        <v>200</v>
      </c>
      <c r="N23" s="753">
        <v>200</v>
      </c>
      <c r="O23" s="753">
        <v>200</v>
      </c>
      <c r="P23" s="71"/>
      <c r="Q23" s="71"/>
      <c r="R23" s="71"/>
      <c r="S23" s="156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146"/>
    </row>
    <row r="24" spans="1:31" ht="45">
      <c r="A24" s="146"/>
      <c r="B24" s="553" t="s">
        <v>124</v>
      </c>
      <c r="C24" s="238" t="s">
        <v>116</v>
      </c>
      <c r="D24" s="242"/>
      <c r="E24" s="71"/>
      <c r="F24" s="817">
        <v>1</v>
      </c>
      <c r="G24" s="816">
        <f t="shared" ref="G24:O24" si="8">F24</f>
        <v>1</v>
      </c>
      <c r="H24" s="816">
        <f t="shared" si="8"/>
        <v>1</v>
      </c>
      <c r="I24" s="816">
        <f t="shared" si="8"/>
        <v>1</v>
      </c>
      <c r="J24" s="547">
        <f t="shared" si="8"/>
        <v>1</v>
      </c>
      <c r="K24" s="547">
        <f t="shared" si="8"/>
        <v>1</v>
      </c>
      <c r="L24" s="547">
        <f t="shared" si="8"/>
        <v>1</v>
      </c>
      <c r="M24" s="547">
        <f t="shared" si="8"/>
        <v>1</v>
      </c>
      <c r="N24" s="547">
        <f t="shared" si="8"/>
        <v>1</v>
      </c>
      <c r="O24" s="547">
        <f t="shared" si="8"/>
        <v>1</v>
      </c>
      <c r="P24" s="71"/>
      <c r="Q24" s="146"/>
      <c r="R24" s="71"/>
      <c r="S24" s="156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146"/>
    </row>
    <row r="25" spans="1:31">
      <c r="A25" s="146"/>
      <c r="B25" s="173"/>
      <c r="C25" s="146"/>
      <c r="D25" s="146"/>
      <c r="E25" s="71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71"/>
      <c r="Q25" s="146"/>
      <c r="R25" s="71"/>
      <c r="S25" s="156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146"/>
    </row>
    <row r="26" spans="1:31">
      <c r="A26" s="520"/>
      <c r="B26" s="514" t="s">
        <v>211</v>
      </c>
      <c r="C26" s="514"/>
      <c r="D26" s="514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156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</row>
    <row r="27" spans="1:31">
      <c r="A27" s="146"/>
      <c r="B27" s="552" t="s">
        <v>444</v>
      </c>
      <c r="C27" s="416" t="s">
        <v>19</v>
      </c>
      <c r="D27" s="240">
        <f>SUM(F27:O27)</f>
        <v>887718.64222189505</v>
      </c>
      <c r="E27" s="71"/>
      <c r="F27" s="223">
        <f>F28*F29</f>
        <v>72000</v>
      </c>
      <c r="G27" s="223">
        <f t="shared" ref="G27:O27" si="9">G28*G29</f>
        <v>74880</v>
      </c>
      <c r="H27" s="223">
        <f t="shared" si="9"/>
        <v>77875.200000000012</v>
      </c>
      <c r="I27" s="223">
        <f t="shared" si="9"/>
        <v>80990.208000000028</v>
      </c>
      <c r="J27" s="223">
        <f t="shared" si="9"/>
        <v>87739.392000000022</v>
      </c>
      <c r="K27" s="223">
        <f t="shared" si="9"/>
        <v>91248.967680000031</v>
      </c>
      <c r="L27" s="223">
        <f t="shared" si="9"/>
        <v>94898.92638720003</v>
      </c>
      <c r="M27" s="223">
        <f t="shared" si="9"/>
        <v>98694.88344268802</v>
      </c>
      <c r="N27" s="223">
        <f t="shared" si="9"/>
        <v>102642.67878039554</v>
      </c>
      <c r="O27" s="223">
        <f t="shared" si="9"/>
        <v>106748.38593161137</v>
      </c>
      <c r="P27" s="71"/>
      <c r="Q27" s="71"/>
      <c r="R27" s="71"/>
      <c r="S27" s="156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</row>
    <row r="28" spans="1:31" ht="30">
      <c r="A28" s="146"/>
      <c r="B28" s="553" t="s">
        <v>450</v>
      </c>
      <c r="C28" s="238" t="s">
        <v>113</v>
      </c>
      <c r="D28" s="236" t="s">
        <v>134</v>
      </c>
      <c r="E28" s="71"/>
      <c r="F28" s="754">
        <v>60</v>
      </c>
      <c r="G28" s="754">
        <v>62.400000000000006</v>
      </c>
      <c r="H28" s="754">
        <v>64.896000000000015</v>
      </c>
      <c r="I28" s="754">
        <v>67.491840000000025</v>
      </c>
      <c r="J28" s="754">
        <v>70.191513600000022</v>
      </c>
      <c r="K28" s="754">
        <v>72.999174144000023</v>
      </c>
      <c r="L28" s="754">
        <v>75.91914110976002</v>
      </c>
      <c r="M28" s="754">
        <v>78.955906754150419</v>
      </c>
      <c r="N28" s="754">
        <v>82.114143024316434</v>
      </c>
      <c r="O28" s="754">
        <v>85.398708745289099</v>
      </c>
      <c r="P28" s="71"/>
      <c r="Q28" s="146"/>
      <c r="R28" s="71"/>
      <c r="S28" s="156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146"/>
    </row>
    <row r="29" spans="1:31">
      <c r="A29" s="146"/>
      <c r="B29" s="553" t="s">
        <v>122</v>
      </c>
      <c r="C29" s="238" t="s">
        <v>115</v>
      </c>
      <c r="D29" s="242">
        <f>SUM(F29:O29)</f>
        <v>12300</v>
      </c>
      <c r="E29" s="71"/>
      <c r="F29" s="753">
        <v>1200</v>
      </c>
      <c r="G29" s="753">
        <v>1200</v>
      </c>
      <c r="H29" s="753">
        <v>1200</v>
      </c>
      <c r="I29" s="753">
        <v>1200</v>
      </c>
      <c r="J29" s="753">
        <v>1250</v>
      </c>
      <c r="K29" s="753">
        <v>1250</v>
      </c>
      <c r="L29" s="753">
        <v>1250</v>
      </c>
      <c r="M29" s="753">
        <v>1250</v>
      </c>
      <c r="N29" s="753">
        <v>1250</v>
      </c>
      <c r="O29" s="753">
        <v>1250</v>
      </c>
      <c r="P29" s="71"/>
      <c r="Q29" s="71"/>
      <c r="R29" s="71"/>
      <c r="S29" s="156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146"/>
    </row>
    <row r="30" spans="1:31" ht="45">
      <c r="A30" s="146"/>
      <c r="B30" s="553" t="s">
        <v>123</v>
      </c>
      <c r="C30" s="238" t="s">
        <v>116</v>
      </c>
      <c r="D30" s="242"/>
      <c r="E30" s="71"/>
      <c r="F30" s="817">
        <v>1</v>
      </c>
      <c r="G30" s="816">
        <f t="shared" ref="G30:O30" si="10">F30</f>
        <v>1</v>
      </c>
      <c r="H30" s="816">
        <f t="shared" si="10"/>
        <v>1</v>
      </c>
      <c r="I30" s="816">
        <f t="shared" si="10"/>
        <v>1</v>
      </c>
      <c r="J30" s="547">
        <f t="shared" si="10"/>
        <v>1</v>
      </c>
      <c r="K30" s="547">
        <f t="shared" si="10"/>
        <v>1</v>
      </c>
      <c r="L30" s="547">
        <f t="shared" si="10"/>
        <v>1</v>
      </c>
      <c r="M30" s="547">
        <f t="shared" si="10"/>
        <v>1</v>
      </c>
      <c r="N30" s="547">
        <f t="shared" si="10"/>
        <v>1</v>
      </c>
      <c r="O30" s="547">
        <f t="shared" si="10"/>
        <v>1</v>
      </c>
      <c r="P30" s="71"/>
      <c r="Q30" s="146"/>
      <c r="R30" s="71"/>
      <c r="S30" s="156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146"/>
    </row>
    <row r="31" spans="1:31">
      <c r="A31" s="146"/>
      <c r="B31" s="173"/>
      <c r="C31" s="146"/>
      <c r="D31" s="146"/>
      <c r="E31" s="71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71"/>
      <c r="Q31" s="146"/>
      <c r="R31" s="71"/>
      <c r="S31" s="156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146"/>
    </row>
    <row r="32" spans="1:31">
      <c r="A32" s="520"/>
      <c r="B32" s="514" t="s">
        <v>212</v>
      </c>
      <c r="C32" s="514"/>
      <c r="D32" s="514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156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</row>
    <row r="33" spans="1:31">
      <c r="A33" s="146"/>
      <c r="B33" s="552" t="s">
        <v>444</v>
      </c>
      <c r="C33" s="416" t="s">
        <v>19</v>
      </c>
      <c r="D33" s="240">
        <f>SUM(F33:O33)</f>
        <v>0</v>
      </c>
      <c r="E33" s="71"/>
      <c r="F33" s="223">
        <f>F34*F35</f>
        <v>0</v>
      </c>
      <c r="G33" s="223">
        <f t="shared" ref="G33:O33" si="11">G34*G35</f>
        <v>0</v>
      </c>
      <c r="H33" s="223">
        <f t="shared" si="11"/>
        <v>0</v>
      </c>
      <c r="I33" s="223">
        <f t="shared" si="11"/>
        <v>0</v>
      </c>
      <c r="J33" s="223">
        <f t="shared" si="11"/>
        <v>0</v>
      </c>
      <c r="K33" s="223">
        <f t="shared" si="11"/>
        <v>0</v>
      </c>
      <c r="L33" s="223">
        <f t="shared" si="11"/>
        <v>0</v>
      </c>
      <c r="M33" s="223">
        <f t="shared" si="11"/>
        <v>0</v>
      </c>
      <c r="N33" s="223">
        <f t="shared" si="11"/>
        <v>0</v>
      </c>
      <c r="O33" s="223">
        <f t="shared" si="11"/>
        <v>0</v>
      </c>
      <c r="P33" s="71"/>
      <c r="Q33" s="71"/>
      <c r="R33" s="71"/>
      <c r="S33" s="156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</row>
    <row r="34" spans="1:31" ht="30">
      <c r="A34" s="146"/>
      <c r="B34" s="553" t="s">
        <v>437</v>
      </c>
      <c r="C34" s="238" t="s">
        <v>113</v>
      </c>
      <c r="D34" s="236" t="s">
        <v>134</v>
      </c>
      <c r="E34" s="71"/>
      <c r="F34" s="754"/>
      <c r="G34" s="754"/>
      <c r="H34" s="754"/>
      <c r="I34" s="754"/>
      <c r="J34" s="754"/>
      <c r="K34" s="754"/>
      <c r="L34" s="754"/>
      <c r="M34" s="754"/>
      <c r="N34" s="754"/>
      <c r="O34" s="754"/>
      <c r="P34" s="71"/>
      <c r="Q34" s="146"/>
      <c r="R34" s="71"/>
      <c r="S34" s="156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146"/>
    </row>
    <row r="35" spans="1:31">
      <c r="A35" s="146"/>
      <c r="B35" s="553" t="s">
        <v>122</v>
      </c>
      <c r="C35" s="238" t="s">
        <v>115</v>
      </c>
      <c r="D35" s="242">
        <f>SUM(F35:O35)</f>
        <v>0</v>
      </c>
      <c r="E35" s="71"/>
      <c r="F35" s="753"/>
      <c r="G35" s="753"/>
      <c r="H35" s="753"/>
      <c r="I35" s="753"/>
      <c r="J35" s="753"/>
      <c r="K35" s="753"/>
      <c r="L35" s="753"/>
      <c r="M35" s="753"/>
      <c r="N35" s="753"/>
      <c r="O35" s="753"/>
      <c r="P35" s="71"/>
      <c r="Q35" s="71"/>
      <c r="R35" s="71"/>
      <c r="S35" s="156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146"/>
    </row>
    <row r="36" spans="1:31" ht="45">
      <c r="A36" s="146"/>
      <c r="B36" s="553" t="s">
        <v>438</v>
      </c>
      <c r="C36" s="238" t="s">
        <v>116</v>
      </c>
      <c r="D36" s="242"/>
      <c r="E36" s="71"/>
      <c r="F36" s="817">
        <v>1</v>
      </c>
      <c r="G36" s="816">
        <f t="shared" ref="G36:O36" si="12">F36</f>
        <v>1</v>
      </c>
      <c r="H36" s="816">
        <f t="shared" si="12"/>
        <v>1</v>
      </c>
      <c r="I36" s="816">
        <f t="shared" si="12"/>
        <v>1</v>
      </c>
      <c r="J36" s="547">
        <f t="shared" si="12"/>
        <v>1</v>
      </c>
      <c r="K36" s="547">
        <f t="shared" si="12"/>
        <v>1</v>
      </c>
      <c r="L36" s="547">
        <f t="shared" si="12"/>
        <v>1</v>
      </c>
      <c r="M36" s="547">
        <f t="shared" si="12"/>
        <v>1</v>
      </c>
      <c r="N36" s="547">
        <f t="shared" si="12"/>
        <v>1</v>
      </c>
      <c r="O36" s="547">
        <f t="shared" si="12"/>
        <v>1</v>
      </c>
      <c r="P36" s="71"/>
      <c r="Q36" s="146"/>
      <c r="R36" s="71"/>
      <c r="S36" s="156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146"/>
    </row>
    <row r="37" spans="1:31">
      <c r="A37" s="146"/>
      <c r="B37" s="173"/>
      <c r="C37" s="146"/>
      <c r="D37" s="146"/>
      <c r="E37" s="71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71"/>
      <c r="Q37" s="146"/>
      <c r="R37" s="71"/>
      <c r="S37" s="156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146"/>
    </row>
    <row r="38" spans="1:31">
      <c r="A38" s="520"/>
      <c r="B38" s="514" t="s">
        <v>213</v>
      </c>
      <c r="C38" s="514"/>
      <c r="D38" s="514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156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</row>
    <row r="39" spans="1:31">
      <c r="A39" s="146"/>
      <c r="B39" s="552" t="s">
        <v>444</v>
      </c>
      <c r="C39" s="416" t="s">
        <v>19</v>
      </c>
      <c r="D39" s="240">
        <f>SUM(F39:O39)</f>
        <v>0</v>
      </c>
      <c r="E39" s="71"/>
      <c r="F39" s="223">
        <f>F40*F41</f>
        <v>0</v>
      </c>
      <c r="G39" s="223">
        <f t="shared" ref="G39:O39" si="13">G40*G41</f>
        <v>0</v>
      </c>
      <c r="H39" s="223">
        <f t="shared" si="13"/>
        <v>0</v>
      </c>
      <c r="I39" s="223">
        <f t="shared" si="13"/>
        <v>0</v>
      </c>
      <c r="J39" s="223">
        <f t="shared" si="13"/>
        <v>0</v>
      </c>
      <c r="K39" s="223">
        <f t="shared" si="13"/>
        <v>0</v>
      </c>
      <c r="L39" s="223">
        <f t="shared" si="13"/>
        <v>0</v>
      </c>
      <c r="M39" s="223">
        <f t="shared" si="13"/>
        <v>0</v>
      </c>
      <c r="N39" s="223">
        <f t="shared" si="13"/>
        <v>0</v>
      </c>
      <c r="O39" s="223">
        <f t="shared" si="13"/>
        <v>0</v>
      </c>
      <c r="P39" s="71"/>
      <c r="Q39" s="71"/>
      <c r="R39" s="71"/>
      <c r="S39" s="156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</row>
    <row r="40" spans="1:31" ht="30">
      <c r="A40" s="146"/>
      <c r="B40" s="553" t="s">
        <v>437</v>
      </c>
      <c r="C40" s="238" t="s">
        <v>113</v>
      </c>
      <c r="D40" s="236" t="s">
        <v>134</v>
      </c>
      <c r="E40" s="71"/>
      <c r="F40" s="754">
        <v>0</v>
      </c>
      <c r="G40" s="754">
        <f>F40*Макро!G30</f>
        <v>0</v>
      </c>
      <c r="H40" s="754">
        <f>G40*Макро!H30</f>
        <v>0</v>
      </c>
      <c r="I40" s="754">
        <f>H40*Макро!I30</f>
        <v>0</v>
      </c>
      <c r="J40" s="754">
        <f>I40*Макро!J30</f>
        <v>0</v>
      </c>
      <c r="K40" s="754">
        <f>J40*Макро!K30</f>
        <v>0</v>
      </c>
      <c r="L40" s="754">
        <f>K40*Макро!L30</f>
        <v>0</v>
      </c>
      <c r="M40" s="754">
        <f>L40*Макро!M30</f>
        <v>0</v>
      </c>
      <c r="N40" s="754">
        <f>M40*Макро!N30</f>
        <v>0</v>
      </c>
      <c r="O40" s="754">
        <f>N40*Макро!O30</f>
        <v>0</v>
      </c>
      <c r="P40" s="71"/>
      <c r="Q40" s="146"/>
      <c r="R40" s="71"/>
      <c r="S40" s="156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146"/>
    </row>
    <row r="41" spans="1:31">
      <c r="A41" s="146"/>
      <c r="B41" s="553" t="s">
        <v>122</v>
      </c>
      <c r="C41" s="238" t="s">
        <v>115</v>
      </c>
      <c r="D41" s="242">
        <f>SUM(F41:O41)</f>
        <v>0</v>
      </c>
      <c r="E41" s="71"/>
      <c r="F41" s="753">
        <v>0</v>
      </c>
      <c r="G41" s="753">
        <f t="shared" ref="G41:O41" si="14">F41*G42</f>
        <v>0</v>
      </c>
      <c r="H41" s="753">
        <f t="shared" si="14"/>
        <v>0</v>
      </c>
      <c r="I41" s="753">
        <f t="shared" si="14"/>
        <v>0</v>
      </c>
      <c r="J41" s="753">
        <f t="shared" si="14"/>
        <v>0</v>
      </c>
      <c r="K41" s="753">
        <f t="shared" si="14"/>
        <v>0</v>
      </c>
      <c r="L41" s="753">
        <f t="shared" si="14"/>
        <v>0</v>
      </c>
      <c r="M41" s="753">
        <f t="shared" si="14"/>
        <v>0</v>
      </c>
      <c r="N41" s="753">
        <f t="shared" si="14"/>
        <v>0</v>
      </c>
      <c r="O41" s="753">
        <f t="shared" si="14"/>
        <v>0</v>
      </c>
      <c r="P41" s="71"/>
      <c r="Q41" s="71"/>
      <c r="R41" s="71"/>
      <c r="S41" s="156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146"/>
    </row>
    <row r="42" spans="1:31" ht="45">
      <c r="A42" s="146"/>
      <c r="B42" s="553" t="s">
        <v>438</v>
      </c>
      <c r="C42" s="238" t="s">
        <v>116</v>
      </c>
      <c r="D42" s="242"/>
      <c r="E42" s="71"/>
      <c r="F42" s="817">
        <v>1</v>
      </c>
      <c r="G42" s="816">
        <f t="shared" ref="G42:O42" si="15">F42</f>
        <v>1</v>
      </c>
      <c r="H42" s="816">
        <f t="shared" si="15"/>
        <v>1</v>
      </c>
      <c r="I42" s="816">
        <f t="shared" si="15"/>
        <v>1</v>
      </c>
      <c r="J42" s="547">
        <f t="shared" si="15"/>
        <v>1</v>
      </c>
      <c r="K42" s="547">
        <f t="shared" si="15"/>
        <v>1</v>
      </c>
      <c r="L42" s="547">
        <f t="shared" si="15"/>
        <v>1</v>
      </c>
      <c r="M42" s="547">
        <f t="shared" si="15"/>
        <v>1</v>
      </c>
      <c r="N42" s="547">
        <f t="shared" si="15"/>
        <v>1</v>
      </c>
      <c r="O42" s="547">
        <f t="shared" si="15"/>
        <v>1</v>
      </c>
      <c r="P42" s="71"/>
      <c r="Q42" s="146"/>
      <c r="R42" s="71"/>
      <c r="S42" s="156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146"/>
    </row>
    <row r="43" spans="1:31">
      <c r="A43" s="146"/>
      <c r="B43" s="173"/>
      <c r="C43" s="146"/>
      <c r="D43" s="146"/>
      <c r="E43" s="71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71"/>
      <c r="Q43" s="146"/>
      <c r="R43" s="71"/>
      <c r="S43" s="156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146"/>
    </row>
    <row r="44" spans="1:31">
      <c r="A44" s="146"/>
      <c r="B44" s="173"/>
      <c r="C44" s="146"/>
      <c r="D44" s="146"/>
      <c r="E44" s="71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71"/>
      <c r="Q44" s="146"/>
      <c r="R44" s="71"/>
      <c r="S44" s="156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146"/>
    </row>
    <row r="45" spans="1:31">
      <c r="A45" s="146"/>
      <c r="B45" s="173"/>
      <c r="C45" s="146"/>
      <c r="D45" s="146"/>
      <c r="E45" s="71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71"/>
      <c r="Q45" s="146"/>
      <c r="R45" s="71"/>
      <c r="S45" s="156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146"/>
    </row>
    <row r="46" spans="1:31">
      <c r="A46" s="146"/>
      <c r="B46" s="173"/>
      <c r="C46" s="146"/>
      <c r="D46" s="146"/>
      <c r="E46" s="71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71"/>
      <c r="Q46" s="146"/>
      <c r="R46" s="71"/>
      <c r="S46" s="156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146"/>
    </row>
    <row r="47" spans="1:31">
      <c r="A47" s="146"/>
      <c r="B47" s="173"/>
      <c r="C47" s="146"/>
      <c r="D47" s="146"/>
      <c r="E47" s="71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71"/>
      <c r="Q47" s="146"/>
      <c r="R47" s="71"/>
      <c r="S47" s="156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146"/>
    </row>
    <row r="48" spans="1:31">
      <c r="A48" s="146"/>
      <c r="B48" s="173"/>
      <c r="C48" s="146"/>
      <c r="D48" s="146"/>
      <c r="E48" s="71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71"/>
      <c r="Q48" s="146"/>
      <c r="R48" s="71"/>
      <c r="S48" s="156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146"/>
    </row>
    <row r="49" spans="1:31" ht="15.75" thickBot="1">
      <c r="A49" s="132"/>
      <c r="B49" s="174"/>
      <c r="C49" s="187"/>
      <c r="D49" s="132"/>
      <c r="E49" s="71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71"/>
      <c r="Q49" s="132"/>
      <c r="R49" s="71"/>
      <c r="S49" s="156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132"/>
    </row>
    <row r="52" spans="1:31">
      <c r="A52" s="71"/>
      <c r="B52" s="554" t="s">
        <v>597</v>
      </c>
      <c r="C52" s="71"/>
      <c r="D52" s="558">
        <f t="shared" ref="D52:D57" si="16">SUM(F52:O52)</f>
        <v>1558.63</v>
      </c>
      <c r="E52" s="71"/>
      <c r="F52" s="543">
        <f>SUM(F53:F57)</f>
        <v>110</v>
      </c>
      <c r="G52" s="543">
        <f t="shared" ref="G52:O52" si="17">SUM(G53:G57)</f>
        <v>120.64</v>
      </c>
      <c r="H52" s="543">
        <f t="shared" si="17"/>
        <v>131.95999999999998</v>
      </c>
      <c r="I52" s="543">
        <f t="shared" si="17"/>
        <v>148.48000000000002</v>
      </c>
      <c r="J52" s="543">
        <f t="shared" si="17"/>
        <v>157.93</v>
      </c>
      <c r="K52" s="543">
        <f t="shared" si="17"/>
        <v>164.25</v>
      </c>
      <c r="L52" s="543">
        <f t="shared" si="17"/>
        <v>170.82</v>
      </c>
      <c r="M52" s="543">
        <f t="shared" si="17"/>
        <v>177.65</v>
      </c>
      <c r="N52" s="543">
        <f t="shared" si="17"/>
        <v>184.75</v>
      </c>
      <c r="O52" s="543">
        <f t="shared" si="17"/>
        <v>192.15</v>
      </c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</row>
    <row r="53" spans="1:31">
      <c r="A53" s="71"/>
      <c r="B53" s="554" t="s">
        <v>209</v>
      </c>
      <c r="C53" s="416" t="s">
        <v>311</v>
      </c>
      <c r="D53" s="558">
        <f t="shared" si="16"/>
        <v>430.78000000000003</v>
      </c>
      <c r="E53" s="71"/>
      <c r="F53" s="544">
        <f>ROUND(F15/1000,2)</f>
        <v>18</v>
      </c>
      <c r="G53" s="544">
        <f t="shared" ref="G53:O53" si="18">ROUND(G15/1000,2)</f>
        <v>24.96</v>
      </c>
      <c r="H53" s="544">
        <f t="shared" si="18"/>
        <v>32.450000000000003</v>
      </c>
      <c r="I53" s="544">
        <f t="shared" si="18"/>
        <v>44.99</v>
      </c>
      <c r="J53" s="544">
        <f t="shared" si="18"/>
        <v>46.79</v>
      </c>
      <c r="K53" s="544">
        <f t="shared" si="18"/>
        <v>48.67</v>
      </c>
      <c r="L53" s="544">
        <f t="shared" si="18"/>
        <v>50.61</v>
      </c>
      <c r="M53" s="544">
        <f t="shared" si="18"/>
        <v>52.64</v>
      </c>
      <c r="N53" s="544">
        <f t="shared" si="18"/>
        <v>54.74</v>
      </c>
      <c r="O53" s="544">
        <f t="shared" si="18"/>
        <v>56.93</v>
      </c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</row>
    <row r="54" spans="1:31">
      <c r="A54" s="71"/>
      <c r="B54" s="554" t="s">
        <v>210</v>
      </c>
      <c r="C54" s="416" t="s">
        <v>311</v>
      </c>
      <c r="D54" s="558">
        <f t="shared" si="16"/>
        <v>240.12999999999997</v>
      </c>
      <c r="E54" s="71"/>
      <c r="F54" s="544">
        <f>ROUND(F21/1000,2)</f>
        <v>20</v>
      </c>
      <c r="G54" s="544">
        <f t="shared" ref="G54:O54" si="19">ROUND(G21/1000,2)</f>
        <v>20.8</v>
      </c>
      <c r="H54" s="544">
        <f t="shared" si="19"/>
        <v>21.63</v>
      </c>
      <c r="I54" s="544">
        <f t="shared" si="19"/>
        <v>22.5</v>
      </c>
      <c r="J54" s="544">
        <f t="shared" si="19"/>
        <v>23.4</v>
      </c>
      <c r="K54" s="544">
        <f t="shared" si="19"/>
        <v>24.33</v>
      </c>
      <c r="L54" s="544">
        <f t="shared" si="19"/>
        <v>25.31</v>
      </c>
      <c r="M54" s="544">
        <f t="shared" si="19"/>
        <v>26.32</v>
      </c>
      <c r="N54" s="544">
        <f t="shared" si="19"/>
        <v>27.37</v>
      </c>
      <c r="O54" s="544">
        <f t="shared" si="19"/>
        <v>28.47</v>
      </c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</row>
    <row r="55" spans="1:31">
      <c r="A55" s="71"/>
      <c r="B55" s="554" t="s">
        <v>211</v>
      </c>
      <c r="C55" s="416" t="s">
        <v>311</v>
      </c>
      <c r="D55" s="558">
        <f t="shared" si="16"/>
        <v>887.71999999999991</v>
      </c>
      <c r="E55" s="71"/>
      <c r="F55" s="544">
        <f>ROUND(F27/1000,2)</f>
        <v>72</v>
      </c>
      <c r="G55" s="544">
        <f t="shared" ref="G55:O55" si="20">ROUND(G27/1000,2)</f>
        <v>74.88</v>
      </c>
      <c r="H55" s="544">
        <f t="shared" si="20"/>
        <v>77.88</v>
      </c>
      <c r="I55" s="544">
        <f t="shared" si="20"/>
        <v>80.989999999999995</v>
      </c>
      <c r="J55" s="544">
        <f t="shared" si="20"/>
        <v>87.74</v>
      </c>
      <c r="K55" s="544">
        <f t="shared" si="20"/>
        <v>91.25</v>
      </c>
      <c r="L55" s="544">
        <f t="shared" si="20"/>
        <v>94.9</v>
      </c>
      <c r="M55" s="544">
        <f t="shared" si="20"/>
        <v>98.69</v>
      </c>
      <c r="N55" s="544">
        <f t="shared" si="20"/>
        <v>102.64</v>
      </c>
      <c r="O55" s="544">
        <f t="shared" si="20"/>
        <v>106.75</v>
      </c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</row>
    <row r="56" spans="1:31">
      <c r="A56" s="71"/>
      <c r="B56" s="554" t="s">
        <v>212</v>
      </c>
      <c r="C56" s="416" t="s">
        <v>311</v>
      </c>
      <c r="D56" s="558">
        <f t="shared" si="16"/>
        <v>0</v>
      </c>
      <c r="E56" s="71"/>
      <c r="F56" s="544">
        <f>ROUND(F33/1000,2)</f>
        <v>0</v>
      </c>
      <c r="G56" s="544">
        <f t="shared" ref="G56:O56" si="21">ROUND(G33/1000,2)</f>
        <v>0</v>
      </c>
      <c r="H56" s="544">
        <f t="shared" si="21"/>
        <v>0</v>
      </c>
      <c r="I56" s="544">
        <f t="shared" si="21"/>
        <v>0</v>
      </c>
      <c r="J56" s="544">
        <f t="shared" si="21"/>
        <v>0</v>
      </c>
      <c r="K56" s="544">
        <f t="shared" si="21"/>
        <v>0</v>
      </c>
      <c r="L56" s="544">
        <f t="shared" si="21"/>
        <v>0</v>
      </c>
      <c r="M56" s="544">
        <f t="shared" si="21"/>
        <v>0</v>
      </c>
      <c r="N56" s="544">
        <f t="shared" si="21"/>
        <v>0</v>
      </c>
      <c r="O56" s="544">
        <f t="shared" si="21"/>
        <v>0</v>
      </c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</row>
    <row r="57" spans="1:31">
      <c r="A57" s="71"/>
      <c r="B57" s="554" t="s">
        <v>213</v>
      </c>
      <c r="C57" s="416" t="s">
        <v>311</v>
      </c>
      <c r="D57" s="558">
        <f t="shared" si="16"/>
        <v>0</v>
      </c>
      <c r="E57" s="71"/>
      <c r="F57" s="544">
        <f>ROUND(F39/1000,2)</f>
        <v>0</v>
      </c>
      <c r="G57" s="544">
        <f t="shared" ref="G57:O57" si="22">ROUND(G39/1000,2)</f>
        <v>0</v>
      </c>
      <c r="H57" s="544">
        <f t="shared" si="22"/>
        <v>0</v>
      </c>
      <c r="I57" s="544">
        <f t="shared" si="22"/>
        <v>0</v>
      </c>
      <c r="J57" s="544">
        <f t="shared" si="22"/>
        <v>0</v>
      </c>
      <c r="K57" s="544">
        <f t="shared" si="22"/>
        <v>0</v>
      </c>
      <c r="L57" s="544">
        <f t="shared" si="22"/>
        <v>0</v>
      </c>
      <c r="M57" s="544">
        <f t="shared" si="22"/>
        <v>0</v>
      </c>
      <c r="N57" s="544">
        <f t="shared" si="22"/>
        <v>0</v>
      </c>
      <c r="O57" s="544">
        <f t="shared" si="22"/>
        <v>0</v>
      </c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</row>
    <row r="59" spans="1:31">
      <c r="A59" s="71"/>
      <c r="B59" s="555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</row>
    <row r="60" spans="1:31">
      <c r="A60" s="71"/>
      <c r="B60" s="166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</row>
    <row r="62" spans="1:31">
      <c r="A62" s="71"/>
      <c r="B62" s="169" t="str">
        <f t="array" aca="1" ref="B62" ca="1">HYPERLINK(CELL("адрес",БДР!$A$1),"Перейти на лист БДР")</f>
        <v>Перейти на лист БДР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</row>
    <row r="63" spans="1:31">
      <c r="A63" s="71"/>
      <c r="B63" s="169" t="str">
        <f t="array" aca="1" ref="B63" ca="1">HYPERLINK(CELL("адрес",БДДС!$A$1),"Перейти на лист БДДС")</f>
        <v>Перейти на лист БДДС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</row>
    <row r="64" spans="1:31">
      <c r="A64" s="71"/>
      <c r="B64" s="169" t="str">
        <f t="array" aca="1" ref="B64" ca="1">HYPERLINK(CELL("адрес",Баланс!$A$1),"Перейти на лист Баланс")</f>
        <v>Перейти на лист Баланс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</row>
    <row r="65" spans="2:2">
      <c r="B65" s="169" t="str">
        <f t="array" aca="1" ref="B65" ca="1">HYPERLINK(CELL("адрес",Дашборд_ИтогТабл!$A$1),"Перейти на лист Дашборд_1")</f>
        <v>Перейти на лист Дашборд_1</v>
      </c>
    </row>
    <row r="66" spans="2:2" ht="30">
      <c r="B66" s="169" t="str">
        <f t="array" aca="1" ref="B66" ca="1">HYPERLINK(CELL("адрес",Дашборд_Основной!$A$1),"Перейти на лист Дашборд_Общий")</f>
        <v>Перейти на лист Дашборд_Общий</v>
      </c>
    </row>
    <row r="67" spans="2:2" ht="30">
      <c r="B67" s="169" t="str">
        <f t="array" aca="1" ref="B67" ca="1">HYPERLINK(CELL("адрес",Дашборд_налоги!$A$1),"Перейти на лист Дашборд_Налоги")</f>
        <v>Перейти на лист Дашборд_Налоги</v>
      </c>
    </row>
  </sheetData>
  <hyperlinks>
    <hyperlink ref="A16" location="'Исходные данные'!A6" display="источник"/>
    <hyperlink ref="A22" location="'Исходные данные'!A6" display="источник"/>
    <hyperlink ref="A28" location="'Исходные данные'!A6" display="источник"/>
    <hyperlink ref="A34" location="'Исходные данные'!A6" display="источник"/>
    <hyperlink ref="A40" location="'Исходные данные'!A6" display="источник"/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63" fitToHeight="7" orientation="landscape" r:id="rId1"/>
  <headerFooter>
    <oddFooter>&amp;C&amp;9Страница  &amp;P из &amp;N&amp;R&amp;G</oddFooter>
  </headerFooter>
  <drawing r:id="rId2"/>
  <legacyDrawingHF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Выручка!F33:O33</xm:f>
              <xm:sqref>Q33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Выручка!F34:O34</xm:f>
              <xm:sqref>Q34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Выручка!F35:O35</xm:f>
              <xm:sqref>Q35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Выручка!F41:O41</xm:f>
              <xm:sqref>Q41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Выручка!F17:O17</xm:f>
              <xm:sqref>Q17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Выручка!F23:O23</xm:f>
              <xm:sqref>Q23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Выручка!F29:O29</xm:f>
              <xm:sqref>Q29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Выручка!F27:O27</xm:f>
              <xm:sqref>Q27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Выручка!F21:O21</xm:f>
              <xm:sqref>Q21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Выручка!F15:O15</xm:f>
              <xm:sqref>Q15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Выручка!F8:O8</xm:f>
              <xm:sqref>Q8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Выручка!F40:O40</xm:f>
              <xm:sqref>Q40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Выручка!F39:O39</xm:f>
              <xm:sqref>Q39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Выручка!F16:O16</xm:f>
              <xm:sqref>Q16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Выручка!F22:O22</xm:f>
              <xm:sqref>Q22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Выручка!F28:O28</xm:f>
              <xm:sqref>Q28</xm:sqref>
            </x14:sparkline>
          </x14:sparklines>
        </x14:sparklineGroup>
      </x14:sparklineGroup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theme="9" tint="0.59999389629810485"/>
    <outlinePr summaryBelow="0" summaryRight="0"/>
    <pageSetUpPr fitToPage="1"/>
  </sheetPr>
  <dimension ref="A1:BZ54"/>
  <sheetViews>
    <sheetView zoomScaleNormal="100" workbookViewId="0">
      <pane xSplit="4" ySplit="3" topLeftCell="E4" activePane="bottomRight" state="frozen"/>
      <selection activeCell="H2" sqref="H2"/>
      <selection pane="topRight" activeCell="H2" sqref="H2"/>
      <selection pane="bottomLeft" activeCell="H2" sqref="H2"/>
      <selection pane="bottomRight" activeCell="G12" sqref="G12"/>
    </sheetView>
  </sheetViews>
  <sheetFormatPr defaultColWidth="0" defaultRowHeight="15" outlineLevelCol="1"/>
  <cols>
    <col min="1" max="1" width="7" customWidth="1"/>
    <col min="2" max="2" width="29.85546875" style="2" customWidth="1"/>
    <col min="3" max="3" width="11" customWidth="1"/>
    <col min="4" max="4" width="10.140625" customWidth="1"/>
    <col min="5" max="5" width="2.28515625" customWidth="1"/>
    <col min="6" max="15" width="8.85546875" customWidth="1"/>
    <col min="16" max="16" width="1.140625" customWidth="1"/>
    <col min="17" max="17" width="13.42578125" customWidth="1"/>
    <col min="18" max="18" width="1.7109375" customWidth="1"/>
    <col min="19" max="19" width="2.85546875" customWidth="1" collapsed="1"/>
    <col min="20" max="29" width="8.85546875" hidden="1" customWidth="1" outlineLevel="1"/>
    <col min="30" max="30" width="1.5703125" customWidth="1"/>
    <col min="31" max="31" width="35" customWidth="1"/>
    <col min="32" max="34" width="8.85546875" customWidth="1"/>
    <col min="35" max="78" width="0" hidden="1" customWidth="1"/>
    <col min="79" max="16384" width="8.85546875" hidden="1"/>
  </cols>
  <sheetData>
    <row r="1" spans="1:31" ht="25.5">
      <c r="A1" s="651" t="s">
        <v>231</v>
      </c>
      <c r="B1" s="164"/>
      <c r="C1" s="71"/>
      <c r="D1" s="71"/>
      <c r="E1" s="71"/>
      <c r="F1" s="71"/>
      <c r="G1" s="71"/>
      <c r="H1" s="71"/>
      <c r="I1" s="151" t="str">
        <f ca="1">Контроль!$Q$1</f>
        <v>Ошибок нет</v>
      </c>
      <c r="J1" s="546"/>
      <c r="K1" s="71"/>
      <c r="L1" s="71"/>
      <c r="M1" s="71"/>
      <c r="N1" s="71"/>
      <c r="O1" s="71"/>
      <c r="P1" s="71"/>
      <c r="Q1" s="71"/>
      <c r="R1" s="71"/>
      <c r="S1" s="155" t="s">
        <v>181</v>
      </c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220"/>
    </row>
    <row r="2" spans="1:31">
      <c r="A2" s="71" t="str">
        <f>Паспорт_ФМ_резидент!B7</f>
        <v>Разработка, производство, модернизация и реализация …</v>
      </c>
      <c r="B2" s="164"/>
      <c r="C2" s="71"/>
      <c r="D2" s="126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71"/>
      <c r="Q2" s="71"/>
      <c r="R2" s="71"/>
      <c r="S2" s="156"/>
      <c r="T2" s="159">
        <v>11</v>
      </c>
      <c r="U2" s="159">
        <f>T2+1</f>
        <v>12</v>
      </c>
      <c r="V2" s="126">
        <f>U2+1</f>
        <v>13</v>
      </c>
      <c r="W2" s="126">
        <f t="shared" ref="W2:AC3" si="0">V2+1</f>
        <v>14</v>
      </c>
      <c r="X2" s="126">
        <f t="shared" si="0"/>
        <v>15</v>
      </c>
      <c r="Y2" s="126">
        <f t="shared" si="0"/>
        <v>16</v>
      </c>
      <c r="Z2" s="126">
        <f t="shared" si="0"/>
        <v>17</v>
      </c>
      <c r="AA2" s="126">
        <f t="shared" si="0"/>
        <v>18</v>
      </c>
      <c r="AB2" s="126">
        <f t="shared" si="0"/>
        <v>19</v>
      </c>
      <c r="AC2" s="126">
        <f t="shared" si="0"/>
        <v>20</v>
      </c>
      <c r="AD2" s="71"/>
      <c r="AE2" s="71"/>
    </row>
    <row r="3" spans="1:31" s="18" customFormat="1" ht="42.75">
      <c r="A3" s="127" t="s">
        <v>2</v>
      </c>
      <c r="B3" s="230" t="s">
        <v>3</v>
      </c>
      <c r="C3" s="127" t="s">
        <v>12</v>
      </c>
      <c r="D3" s="194" t="str">
        <f>CONCATENATE("Итого ",F3,"-",O3)</f>
        <v>Итого 2025-2034</v>
      </c>
      <c r="E3" s="152"/>
      <c r="F3" s="766">
        <v>2025</v>
      </c>
      <c r="G3" s="127">
        <f t="shared" ref="G3:O3" si="1">F3+1</f>
        <v>2026</v>
      </c>
      <c r="H3" s="127">
        <f t="shared" si="1"/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152"/>
      <c r="Q3" s="127" t="s">
        <v>106</v>
      </c>
      <c r="R3" s="152"/>
      <c r="S3" s="157"/>
      <c r="T3" s="160">
        <v>2035</v>
      </c>
      <c r="U3" s="160" t="e">
        <f t="array" ref="U3">PU+1</f>
        <v>#NAME?</v>
      </c>
      <c r="V3" s="160" t="e">
        <f>U3+1</f>
        <v>#NAME?</v>
      </c>
      <c r="W3" s="160" t="e">
        <f t="shared" si="0"/>
        <v>#NAME?</v>
      </c>
      <c r="X3" s="160" t="e">
        <f t="shared" si="0"/>
        <v>#NAME?</v>
      </c>
      <c r="Y3" s="160" t="e">
        <f t="shared" si="0"/>
        <v>#NAME?</v>
      </c>
      <c r="Z3" s="160" t="e">
        <f t="shared" si="0"/>
        <v>#NAME?</v>
      </c>
      <c r="AA3" s="160" t="e">
        <f t="shared" si="0"/>
        <v>#NAME?</v>
      </c>
      <c r="AB3" s="160" t="e">
        <f t="shared" si="0"/>
        <v>#NAME?</v>
      </c>
      <c r="AC3" s="160" t="e">
        <f t="shared" si="0"/>
        <v>#NAME?</v>
      </c>
      <c r="AD3" s="152"/>
      <c r="AE3" s="230" t="s">
        <v>202</v>
      </c>
    </row>
    <row r="4" spans="1:31" ht="7.15" customHeight="1">
      <c r="A4" s="146"/>
      <c r="B4" s="173"/>
      <c r="C4" s="146"/>
      <c r="D4" s="146"/>
      <c r="E4" s="71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71"/>
      <c r="Q4" s="146"/>
      <c r="R4" s="71"/>
      <c r="S4" s="156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146"/>
    </row>
    <row r="5" spans="1:31">
      <c r="A5" s="71"/>
      <c r="B5" s="548"/>
      <c r="C5" s="556"/>
      <c r="D5" s="556"/>
      <c r="E5" s="71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71"/>
      <c r="Q5" s="146"/>
      <c r="R5" s="71"/>
      <c r="S5" s="156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</row>
    <row r="6" spans="1:31">
      <c r="A6" s="965" t="s">
        <v>236</v>
      </c>
      <c r="B6" s="966"/>
      <c r="C6" s="966"/>
      <c r="D6" s="967"/>
      <c r="E6" s="71"/>
      <c r="F6" s="965"/>
      <c r="G6" s="966"/>
      <c r="H6" s="966"/>
      <c r="I6" s="967"/>
      <c r="J6" s="965"/>
      <c r="K6" s="966"/>
      <c r="L6" s="966"/>
      <c r="M6" s="967"/>
      <c r="N6" s="965"/>
      <c r="O6" s="966"/>
      <c r="P6" s="71"/>
      <c r="Q6" s="146"/>
      <c r="R6" s="71"/>
      <c r="S6" s="156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146" t="s">
        <v>214</v>
      </c>
    </row>
    <row r="7" spans="1:31" ht="21" customHeight="1">
      <c r="A7" s="146"/>
      <c r="B7" s="560" t="s">
        <v>235</v>
      </c>
      <c r="C7" s="238" t="s">
        <v>19</v>
      </c>
      <c r="D7" s="242">
        <f>SUM(F7:O7)</f>
        <v>619797.2775168058</v>
      </c>
      <c r="E7" s="71"/>
      <c r="F7" s="223">
        <f t="shared" ref="F7:O7" si="2">SUMIF($B$14:$B$47,$B$7,F$14:F$47)</f>
        <v>46000</v>
      </c>
      <c r="G7" s="223">
        <f t="shared" si="2"/>
        <v>49920</v>
      </c>
      <c r="H7" s="223">
        <f t="shared" si="2"/>
        <v>52998.399999999994</v>
      </c>
      <c r="I7" s="223">
        <f t="shared" si="2"/>
        <v>59617.792000000001</v>
      </c>
      <c r="J7" s="223">
        <f t="shared" si="2"/>
        <v>62002.503680000009</v>
      </c>
      <c r="K7" s="223">
        <f t="shared" si="2"/>
        <v>64482.603827200001</v>
      </c>
      <c r="L7" s="223">
        <f t="shared" si="2"/>
        <v>67061.907980288015</v>
      </c>
      <c r="M7" s="223">
        <f t="shared" si="2"/>
        <v>69744.384299499536</v>
      </c>
      <c r="N7" s="223">
        <f t="shared" si="2"/>
        <v>72534.159671479516</v>
      </c>
      <c r="O7" s="223">
        <f t="shared" si="2"/>
        <v>75435.526058338699</v>
      </c>
      <c r="P7" s="71"/>
      <c r="Q7" s="146"/>
      <c r="R7" s="71"/>
      <c r="S7" s="156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</row>
    <row r="8" spans="1:31" ht="21" customHeight="1">
      <c r="A8" s="537" t="str">
        <f t="array" aca="1" ref="A8" ca="1">HYPERLINK(CELL("адрес",Макро!A31),"источник")</f>
        <v>источник</v>
      </c>
      <c r="B8" s="560" t="s">
        <v>439</v>
      </c>
      <c r="C8" s="238" t="s">
        <v>19</v>
      </c>
      <c r="D8" s="242">
        <f>SUM(F8:O8)</f>
        <v>0</v>
      </c>
      <c r="E8" s="71"/>
      <c r="F8" s="223">
        <f>F7*Макро!F31</f>
        <v>0</v>
      </c>
      <c r="G8" s="223">
        <f>G7*Макро!G31</f>
        <v>0</v>
      </c>
      <c r="H8" s="223">
        <f>H7*Макро!H31</f>
        <v>0</v>
      </c>
      <c r="I8" s="223">
        <f>I7*Макро!I31</f>
        <v>0</v>
      </c>
      <c r="J8" s="223">
        <f>J7*Макро!J31</f>
        <v>0</v>
      </c>
      <c r="K8" s="223">
        <f>K7*Макро!K31</f>
        <v>0</v>
      </c>
      <c r="L8" s="223">
        <f>L7*Макро!L31</f>
        <v>0</v>
      </c>
      <c r="M8" s="223">
        <f>M7*Макро!M31</f>
        <v>0</v>
      </c>
      <c r="N8" s="223">
        <f>N7*Макро!N31</f>
        <v>0</v>
      </c>
      <c r="O8" s="223">
        <f>O7*Макро!O31</f>
        <v>0</v>
      </c>
      <c r="P8" s="71"/>
      <c r="Q8" s="146"/>
      <c r="R8" s="71"/>
      <c r="S8" s="156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</row>
    <row r="9" spans="1:31" ht="21" customHeight="1">
      <c r="A9" s="146"/>
      <c r="B9" s="560" t="s">
        <v>239</v>
      </c>
      <c r="C9" s="238" t="s">
        <v>19</v>
      </c>
      <c r="D9" s="242">
        <f>SUM(F9:O9)</f>
        <v>619797.2775168058</v>
      </c>
      <c r="E9" s="71"/>
      <c r="F9" s="223">
        <f>F7+F8</f>
        <v>46000</v>
      </c>
      <c r="G9" s="223">
        <f t="shared" ref="G9:O9" si="3">G7+G8</f>
        <v>49920</v>
      </c>
      <c r="H9" s="223">
        <f t="shared" si="3"/>
        <v>52998.399999999994</v>
      </c>
      <c r="I9" s="223">
        <f t="shared" si="3"/>
        <v>59617.792000000001</v>
      </c>
      <c r="J9" s="223">
        <f t="shared" si="3"/>
        <v>62002.503680000009</v>
      </c>
      <c r="K9" s="223">
        <f t="shared" si="3"/>
        <v>64482.603827200001</v>
      </c>
      <c r="L9" s="223">
        <f t="shared" si="3"/>
        <v>67061.907980288015</v>
      </c>
      <c r="M9" s="223">
        <f t="shared" si="3"/>
        <v>69744.384299499536</v>
      </c>
      <c r="N9" s="223">
        <f t="shared" si="3"/>
        <v>72534.159671479516</v>
      </c>
      <c r="O9" s="223">
        <f t="shared" si="3"/>
        <v>75435.526058338699</v>
      </c>
      <c r="P9" s="71"/>
      <c r="Q9" s="146"/>
      <c r="R9" s="71"/>
      <c r="S9" s="156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</row>
    <row r="10" spans="1:31">
      <c r="A10" s="146"/>
      <c r="B10" s="173"/>
      <c r="C10" s="146"/>
      <c r="D10" s="146"/>
      <c r="E10" s="71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71"/>
      <c r="Q10" s="146"/>
      <c r="R10" s="71"/>
      <c r="S10" s="156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146"/>
    </row>
    <row r="11" spans="1:31">
      <c r="A11" s="146"/>
      <c r="B11" s="693"/>
      <c r="C11" s="483"/>
      <c r="D11" s="483"/>
      <c r="E11" s="420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71"/>
      <c r="Q11" s="146"/>
      <c r="R11" s="71"/>
      <c r="S11" s="156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146"/>
    </row>
    <row r="12" spans="1:31">
      <c r="A12" s="146"/>
      <c r="B12" s="173"/>
      <c r="C12" s="146"/>
      <c r="D12" s="146"/>
      <c r="E12" s="71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71"/>
      <c r="Q12" s="146"/>
      <c r="R12" s="71"/>
      <c r="S12" s="156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146"/>
    </row>
    <row r="13" spans="1:31">
      <c r="A13" s="146"/>
      <c r="B13" s="520" t="s">
        <v>1235</v>
      </c>
      <c r="C13" s="520"/>
      <c r="D13" s="520"/>
      <c r="E13" s="71"/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71"/>
      <c r="Q13" s="146"/>
      <c r="R13" s="71"/>
      <c r="S13" s="156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</row>
    <row r="14" spans="1:31">
      <c r="A14" s="146"/>
      <c r="B14" s="560" t="s">
        <v>235</v>
      </c>
      <c r="C14" s="238" t="s">
        <v>19</v>
      </c>
      <c r="D14" s="242">
        <f>SUM(F14:O14)</f>
        <v>103534.67122958601</v>
      </c>
      <c r="E14" s="71"/>
      <c r="F14" s="226">
        <f>F15*F16</f>
        <v>3000</v>
      </c>
      <c r="G14" s="226">
        <f>G15*G16</f>
        <v>5200</v>
      </c>
      <c r="H14" s="226">
        <f t="shared" ref="H14:O14" si="4">H15*H16</f>
        <v>6489.6</v>
      </c>
      <c r="I14" s="226">
        <f t="shared" si="4"/>
        <v>11248.640000000003</v>
      </c>
      <c r="J14" s="226">
        <f t="shared" si="4"/>
        <v>11698.585600000004</v>
      </c>
      <c r="K14" s="226">
        <f t="shared" si="4"/>
        <v>12166.529024000003</v>
      </c>
      <c r="L14" s="226">
        <f t="shared" si="4"/>
        <v>12653.190184960004</v>
      </c>
      <c r="M14" s="226">
        <f t="shared" si="4"/>
        <v>13159.317792358404</v>
      </c>
      <c r="N14" s="226">
        <f t="shared" si="4"/>
        <v>13685.690504052742</v>
      </c>
      <c r="O14" s="226">
        <f t="shared" si="4"/>
        <v>14233.11812421485</v>
      </c>
      <c r="P14" s="71"/>
      <c r="Q14" s="146"/>
      <c r="R14" s="71"/>
      <c r="S14" s="156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146"/>
    </row>
    <row r="15" spans="1:31">
      <c r="A15" s="146"/>
      <c r="B15" s="553" t="s">
        <v>232</v>
      </c>
      <c r="C15" s="238" t="s">
        <v>115</v>
      </c>
      <c r="D15" s="242">
        <f>SUM(F15:O15)</f>
        <v>168</v>
      </c>
      <c r="E15" s="71"/>
      <c r="F15" s="753">
        <v>6</v>
      </c>
      <c r="G15" s="753">
        <v>10</v>
      </c>
      <c r="H15" s="753">
        <v>12</v>
      </c>
      <c r="I15" s="753">
        <v>20</v>
      </c>
      <c r="J15" s="753">
        <v>20</v>
      </c>
      <c r="K15" s="753">
        <v>20</v>
      </c>
      <c r="L15" s="753">
        <v>20</v>
      </c>
      <c r="M15" s="753">
        <v>20</v>
      </c>
      <c r="N15" s="753">
        <v>20</v>
      </c>
      <c r="O15" s="753">
        <v>20</v>
      </c>
      <c r="P15" s="71"/>
      <c r="Q15" s="146"/>
      <c r="R15" s="71"/>
      <c r="S15" s="156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68" t="s">
        <v>1109</v>
      </c>
    </row>
    <row r="16" spans="1:31" ht="30">
      <c r="A16" s="146"/>
      <c r="B16" s="553" t="s">
        <v>233</v>
      </c>
      <c r="C16" s="238" t="s">
        <v>19</v>
      </c>
      <c r="D16" s="562" t="s">
        <v>134</v>
      </c>
      <c r="E16" s="71"/>
      <c r="F16" s="818">
        <v>500</v>
      </c>
      <c r="G16" s="542">
        <v>520</v>
      </c>
      <c r="H16" s="542">
        <v>540.80000000000007</v>
      </c>
      <c r="I16" s="542">
        <v>562.43200000000013</v>
      </c>
      <c r="J16" s="542">
        <v>584.92928000000018</v>
      </c>
      <c r="K16" s="542">
        <v>608.32645120000018</v>
      </c>
      <c r="L16" s="542">
        <v>632.65950924800018</v>
      </c>
      <c r="M16" s="542">
        <v>657.9658896179202</v>
      </c>
      <c r="N16" s="542">
        <v>684.28452520263704</v>
      </c>
      <c r="O16" s="542">
        <v>711.6559062107425</v>
      </c>
      <c r="P16" s="71"/>
      <c r="Q16" s="146"/>
      <c r="R16" s="71"/>
      <c r="S16" s="156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68" t="s">
        <v>1110</v>
      </c>
    </row>
    <row r="17" spans="1:31">
      <c r="A17" s="146"/>
      <c r="B17" s="561" t="s">
        <v>234</v>
      </c>
      <c r="C17" s="238"/>
      <c r="D17" s="242"/>
      <c r="E17" s="71"/>
      <c r="F17" s="226"/>
      <c r="G17" s="545"/>
      <c r="H17" s="226"/>
      <c r="I17" s="226"/>
      <c r="J17" s="547"/>
      <c r="K17" s="547"/>
      <c r="L17" s="547"/>
      <c r="M17" s="547"/>
      <c r="N17" s="547"/>
      <c r="O17" s="547"/>
      <c r="P17" s="71"/>
      <c r="Q17" s="146"/>
      <c r="R17" s="71"/>
      <c r="S17" s="156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146"/>
    </row>
    <row r="18" spans="1:31" ht="24">
      <c r="A18" s="146"/>
      <c r="B18" s="694" t="s">
        <v>461</v>
      </c>
      <c r="C18" s="238" t="s">
        <v>19</v>
      </c>
      <c r="D18" s="242">
        <f>SUM(F18:O18)</f>
        <v>430788.284918344</v>
      </c>
      <c r="E18" s="71"/>
      <c r="F18" s="533">
        <f>Выручка!F15</f>
        <v>18000</v>
      </c>
      <c r="G18" s="533">
        <f>Выручка!G15</f>
        <v>24960</v>
      </c>
      <c r="H18" s="533">
        <f>Выручка!H15</f>
        <v>32448.000000000004</v>
      </c>
      <c r="I18" s="533">
        <f>Выручка!I15</f>
        <v>44994.560000000012</v>
      </c>
      <c r="J18" s="533">
        <f>Выручка!J15</f>
        <v>46794.342400000016</v>
      </c>
      <c r="K18" s="533">
        <f>Выручка!K15</f>
        <v>48666.116096000012</v>
      </c>
      <c r="L18" s="533">
        <f>Выручка!L15</f>
        <v>50612.760739840014</v>
      </c>
      <c r="M18" s="533">
        <f>Выручка!M15</f>
        <v>52637.271169433618</v>
      </c>
      <c r="N18" s="533">
        <f>Выручка!N15</f>
        <v>54742.762016210967</v>
      </c>
      <c r="O18" s="533">
        <f>Выручка!O15</f>
        <v>56932.472496859402</v>
      </c>
      <c r="P18" s="71"/>
      <c r="Q18" s="146"/>
      <c r="R18" s="71"/>
      <c r="S18" s="156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146"/>
    </row>
    <row r="19" spans="1:31" ht="25.5">
      <c r="A19" s="146"/>
      <c r="B19" s="695" t="s">
        <v>243</v>
      </c>
      <c r="C19" s="238" t="s">
        <v>19</v>
      </c>
      <c r="D19" s="242">
        <f>SUM(F19:O19)</f>
        <v>327253.61368875799</v>
      </c>
      <c r="E19" s="71"/>
      <c r="F19" s="559">
        <f>F18-F14</f>
        <v>15000</v>
      </c>
      <c r="G19" s="559">
        <f>G18-G14</f>
        <v>19760</v>
      </c>
      <c r="H19" s="559">
        <f>H18-H14</f>
        <v>25958.400000000001</v>
      </c>
      <c r="I19" s="559">
        <f t="shared" ref="I19:O19" si="5">I18-I14</f>
        <v>33745.920000000013</v>
      </c>
      <c r="J19" s="559">
        <f t="shared" si="5"/>
        <v>35095.75680000001</v>
      </c>
      <c r="K19" s="559">
        <f t="shared" si="5"/>
        <v>36499.587072000009</v>
      </c>
      <c r="L19" s="559">
        <f t="shared" si="5"/>
        <v>37959.570554880011</v>
      </c>
      <c r="M19" s="559">
        <f t="shared" si="5"/>
        <v>39477.953377075217</v>
      </c>
      <c r="N19" s="559">
        <f t="shared" si="5"/>
        <v>41057.071512158225</v>
      </c>
      <c r="O19" s="559">
        <f t="shared" si="5"/>
        <v>42699.35437264455</v>
      </c>
      <c r="P19" s="71"/>
      <c r="Q19" s="146"/>
      <c r="R19" s="71"/>
      <c r="S19" s="156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146"/>
    </row>
    <row r="20" spans="1:31" ht="25.5">
      <c r="A20" s="146"/>
      <c r="B20" s="695" t="s">
        <v>244</v>
      </c>
      <c r="C20" s="186" t="s">
        <v>27</v>
      </c>
      <c r="D20" s="137">
        <f>D19/D18</f>
        <v>0.75966228689526449</v>
      </c>
      <c r="E20" s="71"/>
      <c r="F20" s="137">
        <f>F19/F18</f>
        <v>0.83333333333333337</v>
      </c>
      <c r="G20" s="137">
        <f>G19/G18</f>
        <v>0.79166666666666663</v>
      </c>
      <c r="H20" s="137">
        <f>H19/H18</f>
        <v>0.79999999999999993</v>
      </c>
      <c r="I20" s="137">
        <f t="shared" ref="I20:O20" si="6">I19/I18</f>
        <v>0.75000000000000011</v>
      </c>
      <c r="J20" s="137">
        <f t="shared" si="6"/>
        <v>0.75</v>
      </c>
      <c r="K20" s="137">
        <f t="shared" si="6"/>
        <v>0.75</v>
      </c>
      <c r="L20" s="137">
        <f t="shared" si="6"/>
        <v>0.75</v>
      </c>
      <c r="M20" s="137">
        <f t="shared" si="6"/>
        <v>0.75000000000000011</v>
      </c>
      <c r="N20" s="137">
        <f t="shared" si="6"/>
        <v>0.75</v>
      </c>
      <c r="O20" s="137">
        <f t="shared" si="6"/>
        <v>0.75</v>
      </c>
      <c r="P20" s="71"/>
      <c r="Q20" s="146"/>
      <c r="R20" s="71"/>
      <c r="S20" s="156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146"/>
    </row>
    <row r="21" spans="1:31">
      <c r="A21" s="146"/>
      <c r="B21" s="553"/>
      <c r="C21" s="238"/>
      <c r="D21" s="242"/>
      <c r="E21" s="71"/>
      <c r="F21" s="226"/>
      <c r="G21" s="545"/>
      <c r="H21" s="226"/>
      <c r="I21" s="226"/>
      <c r="J21" s="547"/>
      <c r="K21" s="547"/>
      <c r="L21" s="547"/>
      <c r="M21" s="547"/>
      <c r="N21" s="547"/>
      <c r="O21" s="547"/>
      <c r="P21" s="71"/>
      <c r="Q21" s="146"/>
      <c r="R21" s="71"/>
      <c r="S21" s="156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146"/>
    </row>
    <row r="22" spans="1:31">
      <c r="A22" s="146"/>
      <c r="B22" s="520" t="s">
        <v>1236</v>
      </c>
      <c r="C22" s="520"/>
      <c r="D22" s="520"/>
      <c r="E22" s="71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71"/>
      <c r="Q22" s="146"/>
      <c r="R22" s="71"/>
      <c r="S22" s="156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</row>
    <row r="23" spans="1:31">
      <c r="A23" s="146"/>
      <c r="B23" s="560" t="s">
        <v>235</v>
      </c>
      <c r="C23" s="238" t="s">
        <v>19</v>
      </c>
      <c r="D23" s="242">
        <f>SUM(F23:O23)</f>
        <v>12006.107122958603</v>
      </c>
      <c r="E23" s="71"/>
      <c r="F23" s="226">
        <f>F24*F25</f>
        <v>1000</v>
      </c>
      <c r="G23" s="226">
        <f>G24*G25</f>
        <v>1040</v>
      </c>
      <c r="H23" s="226">
        <f t="shared" ref="H23:O23" si="7">H24*H25</f>
        <v>1081.6000000000001</v>
      </c>
      <c r="I23" s="226">
        <f t="shared" si="7"/>
        <v>1124.8640000000003</v>
      </c>
      <c r="J23" s="226">
        <f t="shared" si="7"/>
        <v>1169.8585600000004</v>
      </c>
      <c r="K23" s="226">
        <f t="shared" si="7"/>
        <v>1216.6529024000004</v>
      </c>
      <c r="L23" s="226">
        <f t="shared" si="7"/>
        <v>1265.3190184960006</v>
      </c>
      <c r="M23" s="226">
        <f t="shared" si="7"/>
        <v>1315.9317792358406</v>
      </c>
      <c r="N23" s="226">
        <f t="shared" si="7"/>
        <v>1368.5690504052743</v>
      </c>
      <c r="O23" s="226">
        <f t="shared" si="7"/>
        <v>1423.3118124214855</v>
      </c>
      <c r="P23" s="71"/>
      <c r="Q23" s="146"/>
      <c r="R23" s="71"/>
      <c r="S23" s="156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146"/>
    </row>
    <row r="24" spans="1:31">
      <c r="A24" s="146"/>
      <c r="B24" s="553" t="s">
        <v>240</v>
      </c>
      <c r="C24" s="238" t="s">
        <v>115</v>
      </c>
      <c r="D24" s="242">
        <f>SUM(F24:O24)</f>
        <v>1000</v>
      </c>
      <c r="E24" s="71"/>
      <c r="F24" s="753">
        <v>100</v>
      </c>
      <c r="G24" s="753">
        <v>100</v>
      </c>
      <c r="H24" s="753">
        <v>100</v>
      </c>
      <c r="I24" s="753">
        <v>100</v>
      </c>
      <c r="J24" s="753">
        <v>100</v>
      </c>
      <c r="K24" s="753">
        <v>100</v>
      </c>
      <c r="L24" s="753">
        <v>100</v>
      </c>
      <c r="M24" s="753">
        <v>100</v>
      </c>
      <c r="N24" s="753">
        <v>100</v>
      </c>
      <c r="O24" s="753">
        <v>100</v>
      </c>
      <c r="P24" s="71"/>
      <c r="Q24" s="146"/>
      <c r="R24" s="71"/>
      <c r="S24" s="156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68" t="s">
        <v>1109</v>
      </c>
    </row>
    <row r="25" spans="1:31" ht="30">
      <c r="A25" s="146"/>
      <c r="B25" s="553" t="s">
        <v>241</v>
      </c>
      <c r="C25" s="238" t="s">
        <v>19</v>
      </c>
      <c r="D25" s="562" t="s">
        <v>134</v>
      </c>
      <c r="E25" s="71"/>
      <c r="F25" s="754">
        <v>10</v>
      </c>
      <c r="G25" s="542">
        <v>10.4</v>
      </c>
      <c r="H25" s="542">
        <v>10.816000000000001</v>
      </c>
      <c r="I25" s="542">
        <v>11.248640000000002</v>
      </c>
      <c r="J25" s="542">
        <v>11.698585600000003</v>
      </c>
      <c r="K25" s="542">
        <v>12.166529024000004</v>
      </c>
      <c r="L25" s="542">
        <v>12.653190184960005</v>
      </c>
      <c r="M25" s="542">
        <v>13.159317792358406</v>
      </c>
      <c r="N25" s="542">
        <v>13.685690504052744</v>
      </c>
      <c r="O25" s="542">
        <v>14.233118124214855</v>
      </c>
      <c r="P25" s="71"/>
      <c r="Q25" s="146"/>
      <c r="R25" s="71"/>
      <c r="S25" s="156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68" t="s">
        <v>1110</v>
      </c>
    </row>
    <row r="26" spans="1:31">
      <c r="A26" s="146"/>
      <c r="B26" s="561" t="s">
        <v>234</v>
      </c>
      <c r="C26" s="238"/>
      <c r="D26" s="242"/>
      <c r="E26" s="71"/>
      <c r="F26" s="226"/>
      <c r="G26" s="545"/>
      <c r="H26" s="226"/>
      <c r="I26" s="226"/>
      <c r="J26" s="547"/>
      <c r="K26" s="547"/>
      <c r="L26" s="547"/>
      <c r="M26" s="547"/>
      <c r="N26" s="547"/>
      <c r="O26" s="547"/>
      <c r="P26" s="71"/>
      <c r="Q26" s="146"/>
      <c r="R26" s="71"/>
      <c r="S26" s="156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146"/>
    </row>
    <row r="27" spans="1:31" ht="24">
      <c r="A27" s="146"/>
      <c r="B27" s="694" t="s">
        <v>461</v>
      </c>
      <c r="C27" s="238" t="s">
        <v>19</v>
      </c>
      <c r="D27" s="242">
        <f>SUM(F27:O27)</f>
        <v>240122.14245917197</v>
      </c>
      <c r="E27" s="71"/>
      <c r="F27" s="533">
        <f>Выручка!F21</f>
        <v>20000</v>
      </c>
      <c r="G27" s="533">
        <f>Выручка!G21</f>
        <v>20800</v>
      </c>
      <c r="H27" s="533">
        <f>Выручка!H21</f>
        <v>21632</v>
      </c>
      <c r="I27" s="533">
        <f>Выручка!I21</f>
        <v>22497.279999999999</v>
      </c>
      <c r="J27" s="533">
        <f>Выручка!J21</f>
        <v>23397.171200000004</v>
      </c>
      <c r="K27" s="533">
        <f>Выручка!K21</f>
        <v>24333.058048000003</v>
      </c>
      <c r="L27" s="533">
        <f>Выручка!L21</f>
        <v>25306.380369920003</v>
      </c>
      <c r="M27" s="533">
        <f>Выручка!M21</f>
        <v>26318.635584716805</v>
      </c>
      <c r="N27" s="533">
        <f>Выручка!N21</f>
        <v>27371.381008105476</v>
      </c>
      <c r="O27" s="533">
        <f>Выручка!O21</f>
        <v>28466.236248429697</v>
      </c>
      <c r="P27" s="71"/>
      <c r="Q27" s="146"/>
      <c r="R27" s="71"/>
      <c r="S27" s="156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146"/>
    </row>
    <row r="28" spans="1:31" ht="25.5">
      <c r="A28" s="146"/>
      <c r="B28" s="695" t="s">
        <v>245</v>
      </c>
      <c r="C28" s="238" t="s">
        <v>19</v>
      </c>
      <c r="D28" s="242">
        <f>SUM(F28:O28)</f>
        <v>228116.03533621339</v>
      </c>
      <c r="E28" s="71"/>
      <c r="F28" s="559">
        <f t="shared" ref="F28:O28" si="8">F27-F23</f>
        <v>19000</v>
      </c>
      <c r="G28" s="559">
        <f t="shared" si="8"/>
        <v>19760</v>
      </c>
      <c r="H28" s="559">
        <f t="shared" si="8"/>
        <v>20550.400000000001</v>
      </c>
      <c r="I28" s="559">
        <f t="shared" si="8"/>
        <v>21372.415999999997</v>
      </c>
      <c r="J28" s="559">
        <f t="shared" si="8"/>
        <v>22227.312640000004</v>
      </c>
      <c r="K28" s="559">
        <f t="shared" si="8"/>
        <v>23116.405145600002</v>
      </c>
      <c r="L28" s="559">
        <f t="shared" si="8"/>
        <v>24041.061351424003</v>
      </c>
      <c r="M28" s="559">
        <f t="shared" si="8"/>
        <v>25002.703805480964</v>
      </c>
      <c r="N28" s="559">
        <f t="shared" si="8"/>
        <v>26002.811957700203</v>
      </c>
      <c r="O28" s="559">
        <f t="shared" si="8"/>
        <v>27042.924436008212</v>
      </c>
      <c r="P28" s="71"/>
      <c r="Q28" s="146"/>
      <c r="R28" s="71"/>
      <c r="S28" s="156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146"/>
    </row>
    <row r="29" spans="1:31" ht="25.5">
      <c r="A29" s="146"/>
      <c r="B29" s="695" t="s">
        <v>246</v>
      </c>
      <c r="C29" s="186" t="s">
        <v>27</v>
      </c>
      <c r="D29" s="137">
        <f>D28/D27</f>
        <v>0.95000000000000007</v>
      </c>
      <c r="E29" s="71"/>
      <c r="F29" s="137">
        <f t="shared" ref="F29:O29" si="9">F28/F27</f>
        <v>0.95</v>
      </c>
      <c r="G29" s="137">
        <f t="shared" si="9"/>
        <v>0.95</v>
      </c>
      <c r="H29" s="137">
        <f t="shared" si="9"/>
        <v>0.95000000000000007</v>
      </c>
      <c r="I29" s="137">
        <f t="shared" si="9"/>
        <v>0.95</v>
      </c>
      <c r="J29" s="137">
        <f t="shared" si="9"/>
        <v>0.95</v>
      </c>
      <c r="K29" s="137">
        <f t="shared" si="9"/>
        <v>0.95</v>
      </c>
      <c r="L29" s="137">
        <f t="shared" si="9"/>
        <v>0.95</v>
      </c>
      <c r="M29" s="137">
        <f t="shared" si="9"/>
        <v>0.95</v>
      </c>
      <c r="N29" s="137">
        <f t="shared" si="9"/>
        <v>0.95000000000000007</v>
      </c>
      <c r="O29" s="137">
        <f t="shared" si="9"/>
        <v>0.95</v>
      </c>
      <c r="P29" s="71"/>
      <c r="Q29" s="146"/>
      <c r="R29" s="71"/>
      <c r="S29" s="156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146"/>
    </row>
    <row r="30" spans="1:31">
      <c r="A30" s="146"/>
      <c r="B30" s="553"/>
      <c r="C30" s="238"/>
      <c r="D30" s="242"/>
      <c r="E30" s="71"/>
      <c r="F30" s="226"/>
      <c r="G30" s="545"/>
      <c r="H30" s="226"/>
      <c r="I30" s="226"/>
      <c r="J30" s="547"/>
      <c r="K30" s="547"/>
      <c r="L30" s="547"/>
      <c r="M30" s="547"/>
      <c r="N30" s="547"/>
      <c r="O30" s="547"/>
      <c r="P30" s="71"/>
      <c r="Q30" s="146"/>
      <c r="R30" s="71"/>
      <c r="S30" s="156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146"/>
    </row>
    <row r="31" spans="1:31">
      <c r="A31" s="146"/>
      <c r="B31" s="520" t="s">
        <v>1237</v>
      </c>
      <c r="C31" s="238"/>
      <c r="D31" s="242"/>
      <c r="E31" s="71"/>
      <c r="F31" s="226"/>
      <c r="G31" s="545"/>
      <c r="H31" s="226"/>
      <c r="I31" s="226"/>
      <c r="J31" s="547"/>
      <c r="K31" s="547"/>
      <c r="L31" s="547"/>
      <c r="M31" s="547"/>
      <c r="N31" s="547"/>
      <c r="O31" s="547"/>
      <c r="P31" s="71"/>
      <c r="Q31" s="146"/>
      <c r="R31" s="71"/>
      <c r="S31" s="156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146"/>
    </row>
    <row r="32" spans="1:31">
      <c r="A32" s="146"/>
      <c r="B32" s="560" t="s">
        <v>235</v>
      </c>
      <c r="C32" s="238" t="s">
        <v>19</v>
      </c>
      <c r="D32" s="242">
        <f>SUM(F32:O32)</f>
        <v>504256.49916426116</v>
      </c>
      <c r="E32" s="71"/>
      <c r="F32" s="226">
        <f>F33*F34</f>
        <v>42000</v>
      </c>
      <c r="G32" s="226">
        <f>G33*G34</f>
        <v>43680</v>
      </c>
      <c r="H32" s="226">
        <f t="shared" ref="H32:O32" si="10">H33*H34</f>
        <v>45427.199999999997</v>
      </c>
      <c r="I32" s="226">
        <f t="shared" si="10"/>
        <v>47244.288</v>
      </c>
      <c r="J32" s="226">
        <f t="shared" si="10"/>
        <v>49134.059520000003</v>
      </c>
      <c r="K32" s="226">
        <f t="shared" si="10"/>
        <v>51099.4219008</v>
      </c>
      <c r="L32" s="226">
        <f t="shared" si="10"/>
        <v>53143.398776832008</v>
      </c>
      <c r="M32" s="226">
        <f t="shared" si="10"/>
        <v>55269.134727905286</v>
      </c>
      <c r="N32" s="226">
        <f t="shared" si="10"/>
        <v>57479.900117021498</v>
      </c>
      <c r="O32" s="226">
        <f t="shared" si="10"/>
        <v>59779.096121702358</v>
      </c>
      <c r="P32" s="71"/>
      <c r="Q32" s="146"/>
      <c r="R32" s="71"/>
      <c r="S32" s="156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146"/>
    </row>
    <row r="33" spans="1:31">
      <c r="A33" s="146"/>
      <c r="B33" s="553" t="s">
        <v>240</v>
      </c>
      <c r="C33" s="238" t="s">
        <v>115</v>
      </c>
      <c r="D33" s="242">
        <f>SUM(F33:O33)</f>
        <v>10000</v>
      </c>
      <c r="E33" s="71"/>
      <c r="F33" s="753">
        <v>1000</v>
      </c>
      <c r="G33" s="753">
        <v>1000</v>
      </c>
      <c r="H33" s="753">
        <v>1000</v>
      </c>
      <c r="I33" s="753">
        <v>1000</v>
      </c>
      <c r="J33" s="753">
        <v>1000</v>
      </c>
      <c r="K33" s="753">
        <v>1000</v>
      </c>
      <c r="L33" s="753">
        <v>1000</v>
      </c>
      <c r="M33" s="753">
        <v>1000</v>
      </c>
      <c r="N33" s="753">
        <v>1000</v>
      </c>
      <c r="O33" s="753">
        <v>1000</v>
      </c>
      <c r="P33" s="71"/>
      <c r="Q33" s="146"/>
      <c r="R33" s="71"/>
      <c r="S33" s="156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68" t="s">
        <v>1109</v>
      </c>
    </row>
    <row r="34" spans="1:31" ht="30">
      <c r="A34" s="146"/>
      <c r="B34" s="553" t="s">
        <v>241</v>
      </c>
      <c r="C34" s="238" t="s">
        <v>19</v>
      </c>
      <c r="D34" s="562" t="s">
        <v>134</v>
      </c>
      <c r="E34" s="71"/>
      <c r="F34" s="754">
        <v>42</v>
      </c>
      <c r="G34" s="542">
        <v>43.68</v>
      </c>
      <c r="H34" s="542">
        <v>45.427199999999999</v>
      </c>
      <c r="I34" s="542">
        <v>47.244287999999997</v>
      </c>
      <c r="J34" s="542">
        <v>49.134059520000001</v>
      </c>
      <c r="K34" s="542">
        <v>51.099421900800003</v>
      </c>
      <c r="L34" s="542">
        <v>53.143398776832008</v>
      </c>
      <c r="M34" s="542">
        <v>55.269134727905289</v>
      </c>
      <c r="N34" s="542">
        <v>57.479900117021501</v>
      </c>
      <c r="O34" s="542">
        <v>59.779096121702359</v>
      </c>
      <c r="P34" s="71"/>
      <c r="Q34" s="146"/>
      <c r="R34" s="71"/>
      <c r="S34" s="156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68" t="s">
        <v>1110</v>
      </c>
    </row>
    <row r="35" spans="1:31">
      <c r="A35" s="146"/>
      <c r="B35" s="561" t="s">
        <v>234</v>
      </c>
      <c r="C35" s="238"/>
      <c r="D35" s="242"/>
      <c r="E35" s="71"/>
      <c r="F35" s="226"/>
      <c r="G35" s="545"/>
      <c r="H35" s="226"/>
      <c r="I35" s="226"/>
      <c r="J35" s="547"/>
      <c r="K35" s="547"/>
      <c r="L35" s="547"/>
      <c r="M35" s="547"/>
      <c r="N35" s="547"/>
      <c r="O35" s="547"/>
      <c r="P35" s="71"/>
      <c r="Q35" s="146"/>
      <c r="R35" s="71"/>
      <c r="S35" s="156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146"/>
    </row>
    <row r="36" spans="1:31" ht="24">
      <c r="A36" s="146"/>
      <c r="B36" s="694" t="s">
        <v>461</v>
      </c>
      <c r="C36" s="238" t="s">
        <v>19</v>
      </c>
      <c r="D36" s="242">
        <f>SUM(F36:O36)</f>
        <v>887718.64222189505</v>
      </c>
      <c r="E36" s="71"/>
      <c r="F36" s="533">
        <f>Выручка!F27</f>
        <v>72000</v>
      </c>
      <c r="G36" s="533">
        <f>Выручка!G27</f>
        <v>74880</v>
      </c>
      <c r="H36" s="533">
        <f>Выручка!H27</f>
        <v>77875.200000000012</v>
      </c>
      <c r="I36" s="533">
        <f>Выручка!I27</f>
        <v>80990.208000000028</v>
      </c>
      <c r="J36" s="533">
        <f>Выручка!J27</f>
        <v>87739.392000000022</v>
      </c>
      <c r="K36" s="533">
        <f>Выручка!K27</f>
        <v>91248.967680000031</v>
      </c>
      <c r="L36" s="533">
        <f>Выручка!L27</f>
        <v>94898.92638720003</v>
      </c>
      <c r="M36" s="533">
        <f>Выручка!M27</f>
        <v>98694.88344268802</v>
      </c>
      <c r="N36" s="533">
        <f>Выручка!N27</f>
        <v>102642.67878039554</v>
      </c>
      <c r="O36" s="533">
        <f>Выручка!O27</f>
        <v>106748.38593161137</v>
      </c>
      <c r="P36" s="71"/>
      <c r="Q36" s="146"/>
      <c r="R36" s="71"/>
      <c r="S36" s="156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146"/>
    </row>
    <row r="37" spans="1:31" ht="25.5">
      <c r="A37" s="146"/>
      <c r="B37" s="695" t="s">
        <v>245</v>
      </c>
      <c r="C37" s="238" t="s">
        <v>19</v>
      </c>
      <c r="D37" s="242">
        <f>SUM(F37:O37)</f>
        <v>383462.14305763383</v>
      </c>
      <c r="E37" s="71"/>
      <c r="F37" s="559">
        <f t="shared" ref="F37:O37" si="11">F36-F32</f>
        <v>30000</v>
      </c>
      <c r="G37" s="559">
        <f t="shared" si="11"/>
        <v>31200</v>
      </c>
      <c r="H37" s="559">
        <f t="shared" si="11"/>
        <v>32448.000000000015</v>
      </c>
      <c r="I37" s="559">
        <f t="shared" si="11"/>
        <v>33745.920000000027</v>
      </c>
      <c r="J37" s="559">
        <f t="shared" si="11"/>
        <v>38605.332480000019</v>
      </c>
      <c r="K37" s="559">
        <f t="shared" si="11"/>
        <v>40149.545779200031</v>
      </c>
      <c r="L37" s="559">
        <f t="shared" si="11"/>
        <v>41755.527610368023</v>
      </c>
      <c r="M37" s="559">
        <f t="shared" si="11"/>
        <v>43425.748714782734</v>
      </c>
      <c r="N37" s="559">
        <f t="shared" si="11"/>
        <v>45162.77866337404</v>
      </c>
      <c r="O37" s="559">
        <f t="shared" si="11"/>
        <v>46969.289809909009</v>
      </c>
      <c r="P37" s="71"/>
      <c r="Q37" s="146"/>
      <c r="R37" s="71"/>
      <c r="S37" s="156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146"/>
    </row>
    <row r="38" spans="1:31" ht="25.5">
      <c r="A38" s="146"/>
      <c r="B38" s="695" t="s">
        <v>246</v>
      </c>
      <c r="C38" s="186" t="s">
        <v>27</v>
      </c>
      <c r="D38" s="137">
        <f>D37/D36</f>
        <v>0.43196360290221691</v>
      </c>
      <c r="E38" s="71"/>
      <c r="F38" s="137">
        <f t="shared" ref="F38:O38" si="12">F37/F36</f>
        <v>0.41666666666666669</v>
      </c>
      <c r="G38" s="137">
        <f t="shared" si="12"/>
        <v>0.41666666666666669</v>
      </c>
      <c r="H38" s="137">
        <f t="shared" si="12"/>
        <v>0.4166666666666668</v>
      </c>
      <c r="I38" s="137">
        <f t="shared" si="12"/>
        <v>0.41666666666666685</v>
      </c>
      <c r="J38" s="137">
        <f t="shared" si="12"/>
        <v>0.44000000000000011</v>
      </c>
      <c r="K38" s="137">
        <f t="shared" si="12"/>
        <v>0.44000000000000017</v>
      </c>
      <c r="L38" s="137">
        <f t="shared" si="12"/>
        <v>0.44000000000000011</v>
      </c>
      <c r="M38" s="137">
        <f t="shared" si="12"/>
        <v>0.44000000000000006</v>
      </c>
      <c r="N38" s="137">
        <f t="shared" si="12"/>
        <v>0.44000000000000006</v>
      </c>
      <c r="O38" s="137">
        <f t="shared" si="12"/>
        <v>0.44000000000000006</v>
      </c>
      <c r="P38" s="71"/>
      <c r="Q38" s="146"/>
      <c r="R38" s="71"/>
      <c r="S38" s="156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146"/>
    </row>
    <row r="39" spans="1:31">
      <c r="A39" s="146"/>
      <c r="B39" s="553"/>
      <c r="C39" s="238"/>
      <c r="D39" s="242"/>
      <c r="E39" s="71"/>
      <c r="F39" s="226"/>
      <c r="G39" s="545"/>
      <c r="H39" s="226"/>
      <c r="I39" s="226"/>
      <c r="J39" s="547"/>
      <c r="K39" s="547"/>
      <c r="L39" s="547"/>
      <c r="M39" s="547"/>
      <c r="N39" s="547"/>
      <c r="O39" s="547"/>
      <c r="P39" s="71"/>
      <c r="Q39" s="146"/>
      <c r="R39" s="71"/>
      <c r="S39" s="156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146"/>
    </row>
    <row r="40" spans="1:31">
      <c r="A40" s="146"/>
      <c r="B40" s="553"/>
      <c r="C40" s="238"/>
      <c r="D40" s="242"/>
      <c r="E40" s="71"/>
      <c r="F40" s="226"/>
      <c r="G40" s="545"/>
      <c r="H40" s="226"/>
      <c r="I40" s="226"/>
      <c r="J40" s="547"/>
      <c r="K40" s="547"/>
      <c r="L40" s="547"/>
      <c r="M40" s="547"/>
      <c r="N40" s="547"/>
      <c r="O40" s="547"/>
      <c r="P40" s="71"/>
      <c r="Q40" s="146"/>
      <c r="R40" s="71"/>
      <c r="S40" s="156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146"/>
    </row>
    <row r="41" spans="1:31">
      <c r="A41" s="146"/>
      <c r="B41" s="553"/>
      <c r="C41" s="238"/>
      <c r="D41" s="242"/>
      <c r="E41" s="71"/>
      <c r="F41" s="226"/>
      <c r="G41" s="545"/>
      <c r="H41" s="226"/>
      <c r="I41" s="226"/>
      <c r="J41" s="547"/>
      <c r="K41" s="547"/>
      <c r="L41" s="547"/>
      <c r="M41" s="547"/>
      <c r="N41" s="547"/>
      <c r="O41" s="547"/>
      <c r="P41" s="71"/>
      <c r="Q41" s="146"/>
      <c r="R41" s="71"/>
      <c r="S41" s="156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146"/>
    </row>
    <row r="42" spans="1:31">
      <c r="A42" s="146"/>
      <c r="B42" s="553"/>
      <c r="C42" s="238"/>
      <c r="D42" s="242"/>
      <c r="E42" s="71"/>
      <c r="F42" s="226"/>
      <c r="G42" s="545"/>
      <c r="H42" s="226"/>
      <c r="I42" s="226"/>
      <c r="J42" s="547"/>
      <c r="K42" s="547"/>
      <c r="L42" s="547"/>
      <c r="M42" s="547"/>
      <c r="N42" s="547"/>
      <c r="O42" s="547"/>
      <c r="P42" s="71"/>
      <c r="Q42" s="146"/>
      <c r="R42" s="71"/>
      <c r="S42" s="156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146"/>
    </row>
    <row r="43" spans="1:31">
      <c r="A43" s="146"/>
      <c r="B43" s="553"/>
      <c r="C43" s="238"/>
      <c r="D43" s="242"/>
      <c r="E43" s="71"/>
      <c r="F43" s="226"/>
      <c r="G43" s="545"/>
      <c r="H43" s="226"/>
      <c r="I43" s="226"/>
      <c r="J43" s="547"/>
      <c r="K43" s="547"/>
      <c r="L43" s="547"/>
      <c r="M43" s="547"/>
      <c r="N43" s="547"/>
      <c r="O43" s="547"/>
      <c r="P43" s="71"/>
      <c r="Q43" s="146"/>
      <c r="R43" s="71"/>
      <c r="S43" s="156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146"/>
    </row>
    <row r="44" spans="1:31">
      <c r="A44" s="146"/>
      <c r="B44" s="553"/>
      <c r="C44" s="238"/>
      <c r="D44" s="242"/>
      <c r="E44" s="71"/>
      <c r="F44" s="226"/>
      <c r="G44" s="545"/>
      <c r="H44" s="226"/>
      <c r="I44" s="226"/>
      <c r="J44" s="547"/>
      <c r="K44" s="547"/>
      <c r="L44" s="547"/>
      <c r="M44" s="547"/>
      <c r="N44" s="547"/>
      <c r="O44" s="547"/>
      <c r="P44" s="71"/>
      <c r="Q44" s="146"/>
      <c r="R44" s="71"/>
      <c r="S44" s="156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146"/>
    </row>
    <row r="45" spans="1:31">
      <c r="A45" s="146"/>
      <c r="B45" s="553"/>
      <c r="C45" s="238"/>
      <c r="D45" s="242"/>
      <c r="E45" s="71"/>
      <c r="F45" s="226"/>
      <c r="G45" s="545"/>
      <c r="H45" s="226"/>
      <c r="I45" s="226"/>
      <c r="J45" s="547"/>
      <c r="K45" s="547"/>
      <c r="L45" s="547"/>
      <c r="M45" s="547"/>
      <c r="N45" s="547"/>
      <c r="O45" s="547"/>
      <c r="P45" s="71"/>
      <c r="Q45" s="146"/>
      <c r="R45" s="71"/>
      <c r="S45" s="156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146"/>
    </row>
    <row r="46" spans="1:31">
      <c r="A46" s="146"/>
      <c r="B46" s="173"/>
      <c r="C46" s="146"/>
      <c r="D46" s="146"/>
      <c r="E46" s="71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71"/>
      <c r="Q46" s="146"/>
      <c r="R46" s="71"/>
      <c r="S46" s="156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146"/>
    </row>
    <row r="47" spans="1:31" ht="15.75" thickBot="1">
      <c r="A47" s="132"/>
      <c r="B47" s="174"/>
      <c r="C47" s="187"/>
      <c r="D47" s="132"/>
      <c r="E47" s="71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71"/>
      <c r="Q47" s="132"/>
      <c r="R47" s="71"/>
      <c r="S47" s="156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132"/>
    </row>
    <row r="49" spans="1:31">
      <c r="A49" s="71"/>
      <c r="B49" s="169" t="str">
        <f t="array" aca="1" ref="B49" ca="1">HYPERLINK(CELL("адрес",БДР!$A$1),"Перейти на лист БДР")</f>
        <v>Перейти на лист БДР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</row>
    <row r="50" spans="1:31">
      <c r="B50" s="169" t="str">
        <f t="array" aca="1" ref="B50" ca="1">HYPERLINK(CELL("адрес",БДДС!$A$1),"Перейти на лист БДДС")</f>
        <v>Перейти на лист БДДС</v>
      </c>
    </row>
    <row r="51" spans="1:31">
      <c r="B51" s="169" t="str">
        <f t="array" aca="1" ref="B51" ca="1">HYPERLINK(CELL("адрес",Баланс!$A$1),"Перейти на лист Баланс")</f>
        <v>Перейти на лист Баланс</v>
      </c>
    </row>
    <row r="52" spans="1:31">
      <c r="B52" s="169" t="str">
        <f t="array" aca="1" ref="B52" ca="1">HYPERLINK(CELL("адрес",Дашборд_ИтогТабл!$A$1),"Перейти на лист Дашборд_1")</f>
        <v>Перейти на лист Дашборд_1</v>
      </c>
    </row>
    <row r="53" spans="1:31" ht="30">
      <c r="B53" s="169" t="str">
        <f t="array" aca="1" ref="B53" ca="1">HYPERLINK(CELL("адрес",Дашборд_Основной!$A$1),"Перейти на лист Дашборд_Общий")</f>
        <v>Перейти на лист Дашборд_Общий</v>
      </c>
    </row>
    <row r="54" spans="1:31" ht="30">
      <c r="B54" s="169" t="str">
        <f t="array" aca="1" ref="B54" ca="1">HYPERLINK(CELL("адрес",Дашборд_налоги!$A$1),"Перейти на лист Дашборд_Налоги")</f>
        <v>Перейти на лист Дашборд_Налоги</v>
      </c>
    </row>
  </sheetData>
  <mergeCells count="4">
    <mergeCell ref="A6:D6"/>
    <mergeCell ref="F6:I6"/>
    <mergeCell ref="J6:M6"/>
    <mergeCell ref="N6:O6"/>
  </mergeCells>
  <hyperlinks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64" fitToHeight="7" orientation="landscape" r:id="rId1"/>
  <headerFooter>
    <oddFooter>&amp;C&amp;9Страница  &amp;P из &amp;N&amp;R&amp;G</oddFooter>
  </headerFooter>
  <drawing r:id="rId2"/>
  <legacyDrawingHF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Себестоимость!F25:O25</xm:f>
              <xm:sqref>Q25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Себестоимость!F24:O24</xm:f>
              <xm:sqref>Q24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Себестоимость!F15:O15</xm:f>
              <xm:sqref>Q15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Себестоимость!F7:O7</xm:f>
              <xm:sqref>Q7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Себестоимость!F16:O16</xm:f>
              <xm:sqref>Q16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Себестоимость!F33:O33</xm:f>
              <xm:sqref>Q33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Себестоимость!F34:O34</xm:f>
              <xm:sqref>Q34</xm:sqref>
            </x14:sparkline>
          </x14:sparklines>
        </x14:sparklineGroup>
      </x14:sparklineGroup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9" tint="0.59999389629810485"/>
    <outlinePr summaryBelow="0" summaryRight="0"/>
    <pageSetUpPr fitToPage="1"/>
  </sheetPr>
  <dimension ref="A1:BZ68"/>
  <sheetViews>
    <sheetView zoomScaleNormal="100" workbookViewId="0">
      <pane xSplit="4" ySplit="3" topLeftCell="E4" activePane="bottomRight" state="frozen"/>
      <selection pane="topRight"/>
      <selection pane="bottomLeft"/>
      <selection pane="bottomRight" activeCell="F11" sqref="F11"/>
    </sheetView>
  </sheetViews>
  <sheetFormatPr defaultColWidth="0" defaultRowHeight="15" outlineLevelCol="1"/>
  <cols>
    <col min="1" max="1" width="9.85546875" customWidth="1"/>
    <col min="2" max="2" width="29.85546875" style="2" customWidth="1"/>
    <col min="3" max="3" width="11" customWidth="1"/>
    <col min="4" max="4" width="10.140625" customWidth="1"/>
    <col min="5" max="5" width="2.28515625" customWidth="1"/>
    <col min="6" max="15" width="8.85546875" customWidth="1"/>
    <col min="16" max="16" width="1.140625" customWidth="1"/>
    <col min="17" max="17" width="13.42578125" customWidth="1"/>
    <col min="18" max="18" width="1.7109375" customWidth="1"/>
    <col min="19" max="19" width="2.85546875" customWidth="1" collapsed="1"/>
    <col min="20" max="29" width="8.85546875" hidden="1" customWidth="1" outlineLevel="1"/>
    <col min="30" max="30" width="1.5703125" customWidth="1"/>
    <col min="31" max="31" width="35" customWidth="1"/>
    <col min="32" max="34" width="8.85546875" customWidth="1"/>
    <col min="35" max="78" width="0" hidden="1" customWidth="1"/>
    <col min="79" max="16384" width="8.85546875" hidden="1"/>
  </cols>
  <sheetData>
    <row r="1" spans="1:31" ht="25.5">
      <c r="A1" s="651" t="s">
        <v>775</v>
      </c>
      <c r="B1" s="164"/>
      <c r="C1" s="71"/>
      <c r="D1" s="71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71"/>
      <c r="R1" s="71"/>
      <c r="S1" s="155" t="s">
        <v>181</v>
      </c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spans="1:31">
      <c r="A2" s="71" t="str">
        <f>Паспорт_ФМ_резидент!B7</f>
        <v>Разработка, производство, модернизация и реализация …</v>
      </c>
      <c r="B2" s="164"/>
      <c r="C2" s="71"/>
      <c r="D2" s="126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71"/>
      <c r="Q2" s="71"/>
      <c r="R2" s="71"/>
      <c r="S2" s="156"/>
      <c r="T2" s="159">
        <v>11</v>
      </c>
      <c r="U2" s="159">
        <f>T2+1</f>
        <v>12</v>
      </c>
      <c r="V2" s="126">
        <f>U2+1</f>
        <v>13</v>
      </c>
      <c r="W2" s="126">
        <f t="shared" ref="W2:AC3" si="0">V2+1</f>
        <v>14</v>
      </c>
      <c r="X2" s="126">
        <f t="shared" si="0"/>
        <v>15</v>
      </c>
      <c r="Y2" s="126">
        <f t="shared" si="0"/>
        <v>16</v>
      </c>
      <c r="Z2" s="126">
        <f t="shared" si="0"/>
        <v>17</v>
      </c>
      <c r="AA2" s="126">
        <f t="shared" si="0"/>
        <v>18</v>
      </c>
      <c r="AB2" s="126">
        <f t="shared" si="0"/>
        <v>19</v>
      </c>
      <c r="AC2" s="126">
        <f t="shared" si="0"/>
        <v>20</v>
      </c>
      <c r="AD2" s="71"/>
      <c r="AE2" s="71"/>
    </row>
    <row r="3" spans="1:31" s="18" customFormat="1" ht="42.75">
      <c r="A3" s="127" t="s">
        <v>2</v>
      </c>
      <c r="B3" s="230" t="s">
        <v>3</v>
      </c>
      <c r="C3" s="127" t="s">
        <v>12</v>
      </c>
      <c r="D3" s="194" t="str">
        <f>CONCATENATE("Итого ",F3,"-",O3)</f>
        <v>Итого 2025-2034</v>
      </c>
      <c r="E3" s="152"/>
      <c r="F3" s="766">
        <v>2025</v>
      </c>
      <c r="G3" s="127">
        <f t="shared" ref="G3:O3" si="1">F3+1</f>
        <v>2026</v>
      </c>
      <c r="H3" s="127">
        <f t="shared" si="1"/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152"/>
      <c r="Q3" s="127" t="s">
        <v>106</v>
      </c>
      <c r="R3" s="152"/>
      <c r="S3" s="157"/>
      <c r="T3" s="160">
        <v>2035</v>
      </c>
      <c r="U3" s="160">
        <f>T3+1</f>
        <v>2036</v>
      </c>
      <c r="V3" s="160">
        <f>U3+1</f>
        <v>2037</v>
      </c>
      <c r="W3" s="160">
        <f t="shared" si="0"/>
        <v>2038</v>
      </c>
      <c r="X3" s="160">
        <f t="shared" si="0"/>
        <v>2039</v>
      </c>
      <c r="Y3" s="160">
        <f t="shared" si="0"/>
        <v>2040</v>
      </c>
      <c r="Z3" s="160">
        <f t="shared" si="0"/>
        <v>2041</v>
      </c>
      <c r="AA3" s="160">
        <f t="shared" si="0"/>
        <v>2042</v>
      </c>
      <c r="AB3" s="160">
        <f t="shared" si="0"/>
        <v>2043</v>
      </c>
      <c r="AC3" s="160">
        <f t="shared" si="0"/>
        <v>2044</v>
      </c>
      <c r="AD3" s="152"/>
      <c r="AE3" s="230" t="s">
        <v>202</v>
      </c>
    </row>
    <row r="4" spans="1:31" ht="7.15" customHeight="1">
      <c r="A4" s="146"/>
      <c r="B4" s="173"/>
      <c r="C4" s="146"/>
      <c r="D4" s="146"/>
      <c r="E4" s="71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71"/>
      <c r="Q4" s="146"/>
      <c r="R4" s="71"/>
      <c r="S4" s="156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146"/>
    </row>
    <row r="5" spans="1:31" s="13" customFormat="1" ht="15.75">
      <c r="A5" s="968" t="s">
        <v>765</v>
      </c>
      <c r="B5" s="969"/>
      <c r="C5" s="969"/>
      <c r="D5" s="970"/>
      <c r="E5" s="123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3"/>
      <c r="Q5" s="129"/>
      <c r="R5" s="123"/>
      <c r="S5" s="156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129"/>
    </row>
    <row r="6" spans="1:31">
      <c r="A6" s="146"/>
      <c r="B6" s="173"/>
      <c r="C6" s="146"/>
      <c r="D6" s="146"/>
      <c r="E6" s="71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71"/>
      <c r="Q6" s="146"/>
      <c r="R6" s="71"/>
      <c r="S6" s="156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146"/>
    </row>
    <row r="7" spans="1:31" ht="20.100000000000001" customHeight="1">
      <c r="A7" s="146"/>
      <c r="B7" s="539" t="s">
        <v>140</v>
      </c>
      <c r="C7" s="238" t="s">
        <v>138</v>
      </c>
      <c r="D7" s="241" t="s">
        <v>134</v>
      </c>
      <c r="E7" s="71"/>
      <c r="F7" s="223">
        <f>SUM(F8:F9)</f>
        <v>23</v>
      </c>
      <c r="G7" s="223">
        <f t="shared" ref="G7:O7" si="2">SUM(G8:G9)</f>
        <v>23</v>
      </c>
      <c r="H7" s="223">
        <f t="shared" si="2"/>
        <v>23</v>
      </c>
      <c r="I7" s="223">
        <f t="shared" si="2"/>
        <v>23</v>
      </c>
      <c r="J7" s="223">
        <f t="shared" si="2"/>
        <v>23</v>
      </c>
      <c r="K7" s="223">
        <f t="shared" si="2"/>
        <v>23</v>
      </c>
      <c r="L7" s="223">
        <f t="shared" si="2"/>
        <v>23</v>
      </c>
      <c r="M7" s="223">
        <f t="shared" si="2"/>
        <v>23</v>
      </c>
      <c r="N7" s="223">
        <f t="shared" si="2"/>
        <v>23</v>
      </c>
      <c r="O7" s="223">
        <f t="shared" si="2"/>
        <v>23</v>
      </c>
      <c r="P7" s="71"/>
      <c r="Q7" s="71"/>
      <c r="R7" s="71"/>
      <c r="S7" s="156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146"/>
    </row>
    <row r="8" spans="1:31" ht="30">
      <c r="A8" s="221" t="str">
        <f t="array" aca="1" ref="A8" ca="1">HYPERLINK(CELL("адрес",Исходные!A92),"источник")</f>
        <v>источник</v>
      </c>
      <c r="B8" s="173" t="s">
        <v>139</v>
      </c>
      <c r="C8" s="238" t="s">
        <v>138</v>
      </c>
      <c r="D8" s="241" t="s">
        <v>134</v>
      </c>
      <c r="E8" s="71"/>
      <c r="F8" s="225">
        <f>Исходные!F92</f>
        <v>11</v>
      </c>
      <c r="G8" s="225">
        <f>Исходные!G92</f>
        <v>11</v>
      </c>
      <c r="H8" s="225">
        <f>Исходные!H92</f>
        <v>11</v>
      </c>
      <c r="I8" s="149">
        <f>Исходные!I92</f>
        <v>11</v>
      </c>
      <c r="J8" s="149">
        <f>Исходные!J92</f>
        <v>11</v>
      </c>
      <c r="K8" s="149">
        <f>Исходные!K92</f>
        <v>11</v>
      </c>
      <c r="L8" s="149">
        <f>Исходные!L92</f>
        <v>11</v>
      </c>
      <c r="M8" s="149">
        <f>Исходные!M92</f>
        <v>11</v>
      </c>
      <c r="N8" s="149">
        <f>Исходные!N92</f>
        <v>11</v>
      </c>
      <c r="O8" s="149">
        <f>Исходные!O92</f>
        <v>11</v>
      </c>
      <c r="P8" s="71"/>
      <c r="Q8" s="71"/>
      <c r="R8" s="71"/>
      <c r="S8" s="156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146"/>
    </row>
    <row r="9" spans="1:31" ht="30">
      <c r="A9" s="221" t="str">
        <f t="array" aca="1" ref="A9" ca="1">HYPERLINK(CELL("адрес",Исходные!A93),"источник")</f>
        <v>источник</v>
      </c>
      <c r="B9" s="173" t="s">
        <v>149</v>
      </c>
      <c r="C9" s="238" t="s">
        <v>138</v>
      </c>
      <c r="D9" s="241" t="s">
        <v>134</v>
      </c>
      <c r="E9" s="71"/>
      <c r="F9" s="225">
        <f>Исходные!F93</f>
        <v>12</v>
      </c>
      <c r="G9" s="225">
        <f>Исходные!G93</f>
        <v>12</v>
      </c>
      <c r="H9" s="225">
        <f>Исходные!H93</f>
        <v>12</v>
      </c>
      <c r="I9" s="149">
        <f>Исходные!I93</f>
        <v>12</v>
      </c>
      <c r="J9" s="149">
        <f>Исходные!J93</f>
        <v>12</v>
      </c>
      <c r="K9" s="149">
        <f>Исходные!K93</f>
        <v>12</v>
      </c>
      <c r="L9" s="149">
        <f>Исходные!L93</f>
        <v>12</v>
      </c>
      <c r="M9" s="149">
        <f>Исходные!M93</f>
        <v>12</v>
      </c>
      <c r="N9" s="149">
        <f>Исходные!N93</f>
        <v>12</v>
      </c>
      <c r="O9" s="149">
        <f>Исходные!O93</f>
        <v>12</v>
      </c>
      <c r="P9" s="71"/>
      <c r="Q9" s="71"/>
      <c r="R9" s="71"/>
      <c r="S9" s="156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146"/>
    </row>
    <row r="10" spans="1:31">
      <c r="A10" s="146"/>
      <c r="B10" s="234"/>
      <c r="C10" s="238"/>
      <c r="D10" s="146"/>
      <c r="E10" s="71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71"/>
      <c r="Q10" s="146"/>
      <c r="R10" s="71"/>
      <c r="S10" s="156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146"/>
    </row>
    <row r="11" spans="1:31">
      <c r="A11" s="146"/>
      <c r="B11" s="539" t="s">
        <v>147</v>
      </c>
      <c r="C11" s="146"/>
      <c r="D11" s="146"/>
      <c r="E11" s="71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71"/>
      <c r="Q11" s="146"/>
      <c r="R11" s="71"/>
      <c r="S11" s="156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146"/>
    </row>
    <row r="12" spans="1:31" ht="45">
      <c r="A12" s="221" t="str">
        <f t="array" aca="1" ref="A12" ca="1">HYPERLINK(CELL("адрес",Макро!A80),"источник")</f>
        <v>источник</v>
      </c>
      <c r="B12" s="173" t="s">
        <v>146</v>
      </c>
      <c r="C12" s="238" t="s">
        <v>19</v>
      </c>
      <c r="D12" s="236" t="s">
        <v>134</v>
      </c>
      <c r="E12" s="71"/>
      <c r="F12" s="226">
        <f>Макро!F80</f>
        <v>150</v>
      </c>
      <c r="G12" s="226">
        <f>Макро!G80</f>
        <v>158.4</v>
      </c>
      <c r="H12" s="226">
        <f>Макро!H80</f>
        <v>167.27040000000002</v>
      </c>
      <c r="I12" s="226">
        <f>Макро!I80</f>
        <v>176.63754240000003</v>
      </c>
      <c r="J12" s="226">
        <f>Макро!J80</f>
        <v>186.52924477440004</v>
      </c>
      <c r="K12" s="226">
        <f>Макро!K80</f>
        <v>196.97488248176646</v>
      </c>
      <c r="L12" s="226">
        <f>Макро!L80</f>
        <v>208.00547590074538</v>
      </c>
      <c r="M12" s="226">
        <f>Макро!M80</f>
        <v>219.65378255118713</v>
      </c>
      <c r="N12" s="226">
        <f>Макро!N80</f>
        <v>231.95439437405363</v>
      </c>
      <c r="O12" s="226">
        <f>Макро!O80</f>
        <v>244.94384045900065</v>
      </c>
      <c r="P12" s="71"/>
      <c r="Q12" s="146"/>
      <c r="R12" s="71"/>
      <c r="S12" s="156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146"/>
    </row>
    <row r="13" spans="1:31" ht="45">
      <c r="A13" s="221" t="str">
        <f t="array" aca="1" ref="A13" ca="1">HYPERLINK(CELL("адрес",Макро!A81),"источник")</f>
        <v>источник</v>
      </c>
      <c r="B13" s="173" t="s">
        <v>145</v>
      </c>
      <c r="C13" s="238" t="s">
        <v>19</v>
      </c>
      <c r="D13" s="236" t="s">
        <v>134</v>
      </c>
      <c r="E13" s="71"/>
      <c r="F13" s="226">
        <f>Макро!F81</f>
        <v>130</v>
      </c>
      <c r="G13" s="226">
        <f>Макро!G81</f>
        <v>137.28</v>
      </c>
      <c r="H13" s="226">
        <f>Макро!H81</f>
        <v>144.96768</v>
      </c>
      <c r="I13" s="226">
        <f>Макро!I81</f>
        <v>153.08587008000001</v>
      </c>
      <c r="J13" s="226">
        <f>Макро!J81</f>
        <v>161.65867880448002</v>
      </c>
      <c r="K13" s="226">
        <f>Макро!K81</f>
        <v>170.7115648175309</v>
      </c>
      <c r="L13" s="226">
        <f>Макро!L81</f>
        <v>180.27141244731263</v>
      </c>
      <c r="M13" s="226">
        <f>Макро!M81</f>
        <v>190.36661154436214</v>
      </c>
      <c r="N13" s="226">
        <f>Макро!N81</f>
        <v>201.02714179084643</v>
      </c>
      <c r="O13" s="226">
        <f>Макро!O81</f>
        <v>212.28466173113384</v>
      </c>
      <c r="P13" s="71"/>
      <c r="Q13" s="146"/>
      <c r="R13" s="71"/>
      <c r="S13" s="156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146"/>
    </row>
    <row r="14" spans="1:31">
      <c r="A14" s="221"/>
      <c r="B14" s="234" t="s">
        <v>533</v>
      </c>
      <c r="C14" s="238" t="s">
        <v>19</v>
      </c>
      <c r="D14" s="236"/>
      <c r="E14" s="71"/>
      <c r="F14" s="228">
        <f>ROUND(F16/F7/12,0)</f>
        <v>140</v>
      </c>
      <c r="G14" s="228">
        <f t="shared" ref="G14:O14" si="3">ROUND(G16/G7/12,0)</f>
        <v>147</v>
      </c>
      <c r="H14" s="228">
        <f t="shared" si="3"/>
        <v>156</v>
      </c>
      <c r="I14" s="228">
        <f t="shared" si="3"/>
        <v>164</v>
      </c>
      <c r="J14" s="228">
        <f t="shared" si="3"/>
        <v>174</v>
      </c>
      <c r="K14" s="228">
        <f t="shared" si="3"/>
        <v>183</v>
      </c>
      <c r="L14" s="228">
        <f t="shared" si="3"/>
        <v>194</v>
      </c>
      <c r="M14" s="228">
        <f t="shared" si="3"/>
        <v>204</v>
      </c>
      <c r="N14" s="228">
        <f t="shared" si="3"/>
        <v>216</v>
      </c>
      <c r="O14" s="228">
        <f t="shared" si="3"/>
        <v>228</v>
      </c>
      <c r="P14" s="71"/>
      <c r="Q14" s="146"/>
      <c r="R14" s="71"/>
      <c r="S14" s="156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146"/>
    </row>
    <row r="15" spans="1:31">
      <c r="A15" s="146"/>
      <c r="B15" s="173"/>
      <c r="C15" s="146"/>
      <c r="D15" s="146"/>
      <c r="E15" s="71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71"/>
      <c r="Q15" s="146"/>
      <c r="R15" s="71"/>
      <c r="S15" s="156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146"/>
    </row>
    <row r="16" spans="1:31">
      <c r="A16" s="146"/>
      <c r="B16" s="539" t="s">
        <v>151</v>
      </c>
      <c r="C16" s="238" t="s">
        <v>19</v>
      </c>
      <c r="D16" s="242">
        <f>SUM(F16:O16)</f>
        <v>498286.90376328817</v>
      </c>
      <c r="E16" s="71"/>
      <c r="F16" s="223">
        <f>SUM(F17:F18)</f>
        <v>38520</v>
      </c>
      <c r="G16" s="223">
        <f t="shared" ref="G16:O16" si="4">SUM(G17:G18)</f>
        <v>40677.120000000003</v>
      </c>
      <c r="H16" s="223">
        <f t="shared" si="4"/>
        <v>42955.038720000004</v>
      </c>
      <c r="I16" s="223">
        <f t="shared" si="4"/>
        <v>45360.520888320003</v>
      </c>
      <c r="J16" s="223">
        <f t="shared" si="4"/>
        <v>47900.710058065932</v>
      </c>
      <c r="K16" s="223">
        <f t="shared" si="4"/>
        <v>50583.149821317624</v>
      </c>
      <c r="L16" s="223">
        <f t="shared" si="4"/>
        <v>53415.806211311414</v>
      </c>
      <c r="M16" s="223">
        <f t="shared" si="4"/>
        <v>56407.091359144848</v>
      </c>
      <c r="N16" s="223">
        <f t="shared" si="4"/>
        <v>59565.888475256965</v>
      </c>
      <c r="O16" s="223">
        <f t="shared" si="4"/>
        <v>62901.57822987136</v>
      </c>
      <c r="P16" s="71"/>
      <c r="Q16" s="146"/>
      <c r="R16" s="71"/>
      <c r="S16" s="156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46"/>
    </row>
    <row r="17" spans="1:31" ht="30">
      <c r="A17" s="146"/>
      <c r="B17" s="173" t="s">
        <v>148</v>
      </c>
      <c r="C17" s="238" t="s">
        <v>19</v>
      </c>
      <c r="D17" s="242">
        <f>SUM(F17:O17)</f>
        <v>256128.78230823224</v>
      </c>
      <c r="E17" s="71"/>
      <c r="F17" s="149">
        <f t="shared" ref="F17:O17" si="5">F8*F12*12</f>
        <v>19800</v>
      </c>
      <c r="G17" s="149">
        <f t="shared" si="5"/>
        <v>20908.800000000003</v>
      </c>
      <c r="H17" s="149">
        <f t="shared" si="5"/>
        <v>22079.692800000004</v>
      </c>
      <c r="I17" s="149">
        <f t="shared" si="5"/>
        <v>23316.155596800003</v>
      </c>
      <c r="J17" s="149">
        <f t="shared" si="5"/>
        <v>24621.860310220807</v>
      </c>
      <c r="K17" s="149">
        <f t="shared" si="5"/>
        <v>26000.684487593175</v>
      </c>
      <c r="L17" s="149">
        <f t="shared" si="5"/>
        <v>27456.72281889839</v>
      </c>
      <c r="M17" s="149">
        <f t="shared" si="5"/>
        <v>28994.299296756704</v>
      </c>
      <c r="N17" s="149">
        <f t="shared" si="5"/>
        <v>30617.980057375076</v>
      </c>
      <c r="O17" s="149">
        <f t="shared" si="5"/>
        <v>32332.586940588084</v>
      </c>
      <c r="P17" s="71"/>
      <c r="Q17" s="71"/>
      <c r="R17" s="71"/>
      <c r="S17" s="156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146"/>
    </row>
    <row r="18" spans="1:31">
      <c r="A18" s="146"/>
      <c r="B18" s="173" t="s">
        <v>150</v>
      </c>
      <c r="C18" s="238" t="s">
        <v>19</v>
      </c>
      <c r="D18" s="242">
        <f>SUM(F18:O18)</f>
        <v>242158.12145505589</v>
      </c>
      <c r="E18" s="71"/>
      <c r="F18" s="149">
        <f t="shared" ref="F18:O18" si="6">F9*F13*12</f>
        <v>18720</v>
      </c>
      <c r="G18" s="149">
        <f t="shared" si="6"/>
        <v>19768.32</v>
      </c>
      <c r="H18" s="149">
        <f t="shared" si="6"/>
        <v>20875.34592</v>
      </c>
      <c r="I18" s="149">
        <f t="shared" si="6"/>
        <v>22044.36529152</v>
      </c>
      <c r="J18" s="149">
        <f t="shared" si="6"/>
        <v>23278.849747845125</v>
      </c>
      <c r="K18" s="149">
        <f t="shared" si="6"/>
        <v>24582.465333724453</v>
      </c>
      <c r="L18" s="149">
        <f t="shared" si="6"/>
        <v>25959.08339241302</v>
      </c>
      <c r="M18" s="149">
        <f t="shared" si="6"/>
        <v>27412.792062388147</v>
      </c>
      <c r="N18" s="149">
        <f t="shared" si="6"/>
        <v>28947.908417881888</v>
      </c>
      <c r="O18" s="149">
        <f t="shared" si="6"/>
        <v>30568.991289283273</v>
      </c>
      <c r="P18" s="71"/>
      <c r="Q18" s="71"/>
      <c r="R18" s="71"/>
      <c r="S18" s="156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146"/>
    </row>
    <row r="19" spans="1:31">
      <c r="A19" s="146"/>
      <c r="B19" s="173"/>
      <c r="C19" s="238"/>
      <c r="D19" s="242"/>
      <c r="E19" s="71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71"/>
      <c r="Q19" s="71"/>
      <c r="R19" s="71"/>
      <c r="S19" s="156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146"/>
    </row>
    <row r="20" spans="1:31">
      <c r="A20" s="146"/>
      <c r="B20" s="173"/>
      <c r="C20" s="146"/>
      <c r="D20" s="146"/>
      <c r="E20" s="71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71"/>
      <c r="Q20" s="146"/>
      <c r="R20" s="71"/>
      <c r="S20" s="156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146"/>
    </row>
    <row r="21" spans="1:31">
      <c r="A21" s="570" t="s">
        <v>762</v>
      </c>
      <c r="B21" s="572"/>
      <c r="C21" s="575"/>
      <c r="D21" s="575"/>
      <c r="E21" s="71"/>
      <c r="F21" s="431"/>
      <c r="G21" s="431"/>
      <c r="H21" s="431"/>
      <c r="I21" s="431"/>
      <c r="J21" s="431"/>
      <c r="K21" s="431"/>
      <c r="L21" s="431"/>
      <c r="M21" s="431"/>
      <c r="N21" s="431"/>
      <c r="O21" s="431"/>
      <c r="P21" s="156"/>
      <c r="Q21" s="71"/>
      <c r="R21" s="71"/>
      <c r="S21" s="156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</row>
    <row r="22" spans="1:31">
      <c r="A22" s="146"/>
      <c r="B22" s="173"/>
      <c r="C22" s="146"/>
      <c r="D22" s="146"/>
      <c r="E22" s="71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71"/>
      <c r="Q22" s="146"/>
      <c r="R22" s="71"/>
      <c r="S22" s="156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146"/>
    </row>
    <row r="23" spans="1:31">
      <c r="A23" s="221" t="str">
        <f t="array" aca="1" ref="A23" ca="1">HYPERLINK(CELL("адрес",Макро!A59),"источник")</f>
        <v>источник</v>
      </c>
      <c r="B23" s="173" t="s">
        <v>127</v>
      </c>
      <c r="C23" s="186" t="s">
        <v>27</v>
      </c>
      <c r="D23" s="236" t="s">
        <v>134</v>
      </c>
      <c r="E23" s="71"/>
      <c r="F23" s="703">
        <f>Макро!F59</f>
        <v>0.3</v>
      </c>
      <c r="G23" s="703">
        <f>Макро!G59</f>
        <v>0.3</v>
      </c>
      <c r="H23" s="703">
        <f>Макро!H59</f>
        <v>0.3</v>
      </c>
      <c r="I23" s="703">
        <f>Макро!I59</f>
        <v>0.3</v>
      </c>
      <c r="J23" s="703">
        <f>Макро!J59</f>
        <v>0.3</v>
      </c>
      <c r="K23" s="703">
        <f>Макро!K59</f>
        <v>0.3</v>
      </c>
      <c r="L23" s="703">
        <f>Макро!L59</f>
        <v>0.3</v>
      </c>
      <c r="M23" s="703">
        <f>Макро!M59</f>
        <v>0.3</v>
      </c>
      <c r="N23" s="703">
        <f>Макро!N59</f>
        <v>0.3</v>
      </c>
      <c r="O23" s="703">
        <f>Макро!O59</f>
        <v>0.3</v>
      </c>
      <c r="P23" s="71"/>
      <c r="Q23" s="146"/>
      <c r="R23" s="71"/>
      <c r="S23" s="156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146"/>
    </row>
    <row r="24" spans="1:31">
      <c r="A24" s="146"/>
      <c r="B24" s="173"/>
      <c r="C24" s="146"/>
      <c r="D24" s="146"/>
      <c r="E24" s="71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71"/>
      <c r="Q24" s="146"/>
      <c r="R24" s="71"/>
      <c r="S24" s="156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146"/>
    </row>
    <row r="25" spans="1:31" ht="29.25">
      <c r="A25" s="146"/>
      <c r="B25" s="539" t="s">
        <v>152</v>
      </c>
      <c r="C25" s="238" t="s">
        <v>19</v>
      </c>
      <c r="D25" s="242">
        <f>SUM(F25:O25)</f>
        <v>149486.07112898643</v>
      </c>
      <c r="E25" s="71"/>
      <c r="F25" s="223">
        <f>SUM(F26:F27)</f>
        <v>11556</v>
      </c>
      <c r="G25" s="223">
        <f t="shared" ref="G25:O25" si="7">SUM(G26:G27)</f>
        <v>12203.136</v>
      </c>
      <c r="H25" s="223">
        <f t="shared" si="7"/>
        <v>12886.511616</v>
      </c>
      <c r="I25" s="223">
        <f t="shared" si="7"/>
        <v>13608.156266496</v>
      </c>
      <c r="J25" s="223">
        <f t="shared" si="7"/>
        <v>14370.213017419779</v>
      </c>
      <c r="K25" s="223">
        <f t="shared" si="7"/>
        <v>15174.944946395288</v>
      </c>
      <c r="L25" s="223">
        <f t="shared" si="7"/>
        <v>16024.741863393423</v>
      </c>
      <c r="M25" s="223">
        <f t="shared" si="7"/>
        <v>16922.127407743454</v>
      </c>
      <c r="N25" s="223">
        <f t="shared" si="7"/>
        <v>17869.76654257709</v>
      </c>
      <c r="O25" s="223">
        <f t="shared" si="7"/>
        <v>18870.473468961405</v>
      </c>
      <c r="P25" s="71"/>
      <c r="Q25" s="146"/>
      <c r="R25" s="71"/>
      <c r="S25" s="156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146"/>
    </row>
    <row r="26" spans="1:31" ht="30">
      <c r="A26" s="146"/>
      <c r="B26" s="173" t="s">
        <v>148</v>
      </c>
      <c r="C26" s="238" t="s">
        <v>19</v>
      </c>
      <c r="D26" s="242">
        <f>SUM(F26:O26)</f>
        <v>76838.63469246967</v>
      </c>
      <c r="E26" s="71"/>
      <c r="F26" s="149">
        <f t="shared" ref="F26:O26" si="8">F17*F23</f>
        <v>5940</v>
      </c>
      <c r="G26" s="149">
        <f t="shared" si="8"/>
        <v>6272.64</v>
      </c>
      <c r="H26" s="149">
        <f t="shared" si="8"/>
        <v>6623.9078400000008</v>
      </c>
      <c r="I26" s="149">
        <f t="shared" si="8"/>
        <v>6994.8466790400007</v>
      </c>
      <c r="J26" s="149">
        <f t="shared" si="8"/>
        <v>7386.5580930662418</v>
      </c>
      <c r="K26" s="149">
        <f t="shared" si="8"/>
        <v>7800.2053462779522</v>
      </c>
      <c r="L26" s="149">
        <f t="shared" si="8"/>
        <v>8237.0168456695174</v>
      </c>
      <c r="M26" s="149">
        <f t="shared" si="8"/>
        <v>8698.2897890270106</v>
      </c>
      <c r="N26" s="149">
        <f t="shared" si="8"/>
        <v>9185.3940172125222</v>
      </c>
      <c r="O26" s="149">
        <f t="shared" si="8"/>
        <v>9699.7760821764241</v>
      </c>
      <c r="P26" s="71"/>
      <c r="Q26" s="71"/>
      <c r="R26" s="71"/>
      <c r="S26" s="156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146"/>
    </row>
    <row r="27" spans="1:31">
      <c r="A27" s="146"/>
      <c r="B27" s="173" t="s">
        <v>150</v>
      </c>
      <c r="C27" s="238" t="s">
        <v>19</v>
      </c>
      <c r="D27" s="242">
        <f>SUM(F27:O27)</f>
        <v>72647.436436516757</v>
      </c>
      <c r="E27" s="71"/>
      <c r="F27" s="149">
        <f t="shared" ref="F27:O27" si="9">F18*F23</f>
        <v>5616</v>
      </c>
      <c r="G27" s="149">
        <f t="shared" si="9"/>
        <v>5930.4960000000001</v>
      </c>
      <c r="H27" s="149">
        <f t="shared" si="9"/>
        <v>6262.6037759999999</v>
      </c>
      <c r="I27" s="149">
        <f t="shared" si="9"/>
        <v>6613.3095874559995</v>
      </c>
      <c r="J27" s="149">
        <f t="shared" si="9"/>
        <v>6983.6549243535374</v>
      </c>
      <c r="K27" s="149">
        <f t="shared" si="9"/>
        <v>7374.7396001173356</v>
      </c>
      <c r="L27" s="149">
        <f t="shared" si="9"/>
        <v>7787.7250177239057</v>
      </c>
      <c r="M27" s="149">
        <f t="shared" si="9"/>
        <v>8223.8376187164431</v>
      </c>
      <c r="N27" s="149">
        <f t="shared" si="9"/>
        <v>8684.3725253645662</v>
      </c>
      <c r="O27" s="149">
        <f t="shared" si="9"/>
        <v>9170.6973867849811</v>
      </c>
      <c r="P27" s="71"/>
      <c r="Q27" s="71"/>
      <c r="R27" s="71"/>
      <c r="S27" s="156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146"/>
    </row>
    <row r="28" spans="1:31">
      <c r="A28" s="146"/>
      <c r="B28" s="173"/>
      <c r="C28" s="238"/>
      <c r="D28" s="242"/>
      <c r="E28" s="71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71"/>
      <c r="Q28" s="71"/>
      <c r="R28" s="71"/>
      <c r="S28" s="156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133"/>
    </row>
    <row r="29" spans="1:31" ht="43.5">
      <c r="A29" s="146"/>
      <c r="B29" s="539" t="s">
        <v>301</v>
      </c>
      <c r="C29" s="238" t="s">
        <v>19</v>
      </c>
      <c r="D29" s="242">
        <f>SUM(F29:O29)</f>
        <v>647772.97489227459</v>
      </c>
      <c r="E29" s="71"/>
      <c r="F29" s="223">
        <f>SUM(F30:F31)</f>
        <v>50076</v>
      </c>
      <c r="G29" s="223">
        <f t="shared" ref="G29:O29" si="10">SUM(G30:G31)</f>
        <v>52880.256000000001</v>
      </c>
      <c r="H29" s="223">
        <f t="shared" si="10"/>
        <v>55841.550336</v>
      </c>
      <c r="I29" s="223">
        <f t="shared" si="10"/>
        <v>58968.677154816003</v>
      </c>
      <c r="J29" s="223">
        <f t="shared" si="10"/>
        <v>62270.923075485713</v>
      </c>
      <c r="K29" s="223">
        <f t="shared" si="10"/>
        <v>65758.094767712915</v>
      </c>
      <c r="L29" s="223">
        <f t="shared" si="10"/>
        <v>69440.548074704828</v>
      </c>
      <c r="M29" s="223">
        <f t="shared" si="10"/>
        <v>73329.218766888313</v>
      </c>
      <c r="N29" s="223">
        <f t="shared" si="10"/>
        <v>77435.655017834055</v>
      </c>
      <c r="O29" s="223">
        <f t="shared" si="10"/>
        <v>81772.051698832758</v>
      </c>
      <c r="P29" s="71"/>
      <c r="Q29" s="146"/>
      <c r="R29" s="71"/>
      <c r="S29" s="156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133"/>
    </row>
    <row r="30" spans="1:31" ht="30">
      <c r="A30" s="146"/>
      <c r="B30" s="173" t="s">
        <v>148</v>
      </c>
      <c r="C30" s="238" t="s">
        <v>19</v>
      </c>
      <c r="D30" s="242">
        <f>SUM(F30:O30)</f>
        <v>332967.41700070194</v>
      </c>
      <c r="E30" s="71"/>
      <c r="F30" s="149">
        <f t="shared" ref="F30:O30" si="11">F17+F26</f>
        <v>25740</v>
      </c>
      <c r="G30" s="149">
        <f t="shared" si="11"/>
        <v>27181.440000000002</v>
      </c>
      <c r="H30" s="149">
        <f t="shared" si="11"/>
        <v>28703.600640000004</v>
      </c>
      <c r="I30" s="149">
        <f t="shared" si="11"/>
        <v>30311.002275840005</v>
      </c>
      <c r="J30" s="149">
        <f t="shared" si="11"/>
        <v>32008.418403287047</v>
      </c>
      <c r="K30" s="149">
        <f t="shared" si="11"/>
        <v>33800.88983387113</v>
      </c>
      <c r="L30" s="149">
        <f t="shared" si="11"/>
        <v>35693.739664567911</v>
      </c>
      <c r="M30" s="149">
        <f t="shared" si="11"/>
        <v>37692.589085783715</v>
      </c>
      <c r="N30" s="149">
        <f t="shared" si="11"/>
        <v>39803.374074587598</v>
      </c>
      <c r="O30" s="149">
        <f t="shared" si="11"/>
        <v>42032.363022764504</v>
      </c>
      <c r="P30" s="71"/>
      <c r="Q30" s="71"/>
      <c r="R30" s="71"/>
      <c r="S30" s="156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133"/>
    </row>
    <row r="31" spans="1:31">
      <c r="A31" s="146"/>
      <c r="B31" s="173" t="s">
        <v>150</v>
      </c>
      <c r="C31" s="238" t="s">
        <v>19</v>
      </c>
      <c r="D31" s="242">
        <f>SUM(F31:O31)</f>
        <v>314805.55789157271</v>
      </c>
      <c r="E31" s="71"/>
      <c r="F31" s="149">
        <f t="shared" ref="F31:O31" si="12">F18+F27</f>
        <v>24336</v>
      </c>
      <c r="G31" s="149">
        <f t="shared" si="12"/>
        <v>25698.815999999999</v>
      </c>
      <c r="H31" s="149">
        <f t="shared" si="12"/>
        <v>27137.949696</v>
      </c>
      <c r="I31" s="149">
        <f t="shared" si="12"/>
        <v>28657.674878975999</v>
      </c>
      <c r="J31" s="149">
        <f t="shared" si="12"/>
        <v>30262.504672198662</v>
      </c>
      <c r="K31" s="149">
        <f t="shared" si="12"/>
        <v>31957.204933841789</v>
      </c>
      <c r="L31" s="149">
        <f t="shared" si="12"/>
        <v>33746.808410136924</v>
      </c>
      <c r="M31" s="149">
        <f t="shared" si="12"/>
        <v>35636.62968110459</v>
      </c>
      <c r="N31" s="149">
        <f t="shared" si="12"/>
        <v>37632.280943246456</v>
      </c>
      <c r="O31" s="149">
        <f t="shared" si="12"/>
        <v>39739.688676068254</v>
      </c>
      <c r="P31" s="71"/>
      <c r="Q31" s="71"/>
      <c r="R31" s="71"/>
      <c r="S31" s="156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133"/>
    </row>
    <row r="32" spans="1:31">
      <c r="A32" s="146"/>
      <c r="B32" s="173"/>
      <c r="C32" s="238"/>
      <c r="D32" s="242"/>
      <c r="E32" s="71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71"/>
      <c r="Q32" s="71"/>
      <c r="R32" s="71"/>
      <c r="S32" s="156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133"/>
    </row>
    <row r="33" spans="1:31">
      <c r="A33" s="146"/>
      <c r="B33" s="173"/>
      <c r="C33" s="238"/>
      <c r="D33" s="242"/>
      <c r="E33" s="71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71"/>
      <c r="Q33" s="71"/>
      <c r="R33" s="71"/>
      <c r="S33" s="156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133"/>
    </row>
    <row r="34" spans="1:31">
      <c r="A34" s="570" t="s">
        <v>763</v>
      </c>
      <c r="B34" s="572"/>
      <c r="C34" s="575"/>
      <c r="D34" s="575"/>
      <c r="E34" s="71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156"/>
      <c r="Q34" s="71"/>
      <c r="R34" s="71"/>
      <c r="S34" s="156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</row>
    <row r="35" spans="1:31">
      <c r="A35" s="146"/>
      <c r="B35" s="173"/>
      <c r="C35" s="238"/>
      <c r="D35" s="242"/>
      <c r="E35" s="71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71"/>
      <c r="Q35" s="71"/>
      <c r="R35" s="71"/>
      <c r="S35" s="156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133"/>
    </row>
    <row r="36" spans="1:31">
      <c r="A36" s="221" t="str">
        <f t="array" aca="1" ref="A36" ca="1">HYPERLINK(CELL("адрес",Макро!A62),"источник")</f>
        <v>источник</v>
      </c>
      <c r="B36" s="173" t="s">
        <v>292</v>
      </c>
      <c r="C36" s="186" t="s">
        <v>27</v>
      </c>
      <c r="D36" s="236" t="s">
        <v>134</v>
      </c>
      <c r="E36" s="71"/>
      <c r="F36" s="703">
        <f>Макро!F62</f>
        <v>7.5999999999999998E-2</v>
      </c>
      <c r="G36" s="703">
        <f>Макро!G62</f>
        <v>7.5999999999999998E-2</v>
      </c>
      <c r="H36" s="703">
        <f>Макро!H62</f>
        <v>7.5999999999999998E-2</v>
      </c>
      <c r="I36" s="703">
        <f>Макро!I62</f>
        <v>7.5999999999999998E-2</v>
      </c>
      <c r="J36" s="703">
        <f>Макро!J62</f>
        <v>7.5999999999999998E-2</v>
      </c>
      <c r="K36" s="703">
        <f>Макро!K62</f>
        <v>7.5999999999999998E-2</v>
      </c>
      <c r="L36" s="703">
        <f>Макро!L62</f>
        <v>7.5999999999999998E-2</v>
      </c>
      <c r="M36" s="703">
        <f>Макро!M62</f>
        <v>7.5999999999999998E-2</v>
      </c>
      <c r="N36" s="703">
        <f>Макро!N62</f>
        <v>7.5999999999999998E-2</v>
      </c>
      <c r="O36" s="703">
        <f>Макро!O62</f>
        <v>7.5999999999999998E-2</v>
      </c>
      <c r="P36" s="71"/>
      <c r="Q36" s="71"/>
      <c r="R36" s="71"/>
      <c r="S36" s="156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133"/>
    </row>
    <row r="37" spans="1:31">
      <c r="A37" s="146"/>
      <c r="B37" s="173"/>
      <c r="C37" s="238"/>
      <c r="D37" s="242"/>
      <c r="E37" s="71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71"/>
      <c r="Q37" s="71"/>
      <c r="R37" s="71"/>
      <c r="S37" s="156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133"/>
    </row>
    <row r="38" spans="1:31" ht="29.25">
      <c r="A38" s="146"/>
      <c r="B38" s="539" t="s">
        <v>293</v>
      </c>
      <c r="C38" s="238" t="s">
        <v>19</v>
      </c>
      <c r="D38" s="242">
        <f>SUM(F38:O38)</f>
        <v>37869.804686009898</v>
      </c>
      <c r="E38" s="71"/>
      <c r="F38" s="223">
        <f>SUM(F39:F40)</f>
        <v>2927.52</v>
      </c>
      <c r="G38" s="223">
        <f t="shared" ref="G38:O38" si="13">SUM(G39:G40)</f>
        <v>3091.4611199999999</v>
      </c>
      <c r="H38" s="223">
        <f t="shared" si="13"/>
        <v>3264.5829427200006</v>
      </c>
      <c r="I38" s="223">
        <f t="shared" si="13"/>
        <v>3447.3995875123201</v>
      </c>
      <c r="J38" s="223">
        <f t="shared" si="13"/>
        <v>3640.4539644130109</v>
      </c>
      <c r="K38" s="223">
        <f t="shared" si="13"/>
        <v>3844.3193864201394</v>
      </c>
      <c r="L38" s="223">
        <f t="shared" si="13"/>
        <v>4059.6012720596673</v>
      </c>
      <c r="M38" s="223">
        <f t="shared" si="13"/>
        <v>4286.9389432950084</v>
      </c>
      <c r="N38" s="223">
        <f t="shared" si="13"/>
        <v>4527.0075241195291</v>
      </c>
      <c r="O38" s="223">
        <f t="shared" si="13"/>
        <v>4780.5199454702233</v>
      </c>
      <c r="P38" s="71"/>
      <c r="Q38" s="146"/>
      <c r="R38" s="71"/>
      <c r="S38" s="156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146"/>
    </row>
    <row r="39" spans="1:31" ht="30">
      <c r="A39" s="146"/>
      <c r="B39" s="173" t="s">
        <v>148</v>
      </c>
      <c r="C39" s="238" t="s">
        <v>19</v>
      </c>
      <c r="D39" s="242">
        <f>SUM(F39:O39)</f>
        <v>19465.787455425652</v>
      </c>
      <c r="E39" s="71"/>
      <c r="F39" s="149">
        <f t="shared" ref="F39:O39" si="14">F17*F36</f>
        <v>1504.8</v>
      </c>
      <c r="G39" s="149">
        <f t="shared" si="14"/>
        <v>1589.0688000000002</v>
      </c>
      <c r="H39" s="149">
        <f t="shared" si="14"/>
        <v>1678.0566528000004</v>
      </c>
      <c r="I39" s="149">
        <f t="shared" si="14"/>
        <v>1772.0278253568001</v>
      </c>
      <c r="J39" s="149">
        <f t="shared" si="14"/>
        <v>1871.2613835767813</v>
      </c>
      <c r="K39" s="149">
        <f t="shared" si="14"/>
        <v>1976.0520210570812</v>
      </c>
      <c r="L39" s="149">
        <f t="shared" si="14"/>
        <v>2086.7109342362778</v>
      </c>
      <c r="M39" s="149">
        <f t="shared" si="14"/>
        <v>2203.5667465535093</v>
      </c>
      <c r="N39" s="149">
        <f t="shared" si="14"/>
        <v>2326.9664843605055</v>
      </c>
      <c r="O39" s="149">
        <f t="shared" si="14"/>
        <v>2457.2766074846945</v>
      </c>
      <c r="P39" s="71"/>
      <c r="Q39" s="71"/>
      <c r="R39" s="71"/>
      <c r="S39" s="156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146"/>
    </row>
    <row r="40" spans="1:31">
      <c r="A40" s="146"/>
      <c r="B40" s="173" t="s">
        <v>150</v>
      </c>
      <c r="C40" s="238" t="s">
        <v>19</v>
      </c>
      <c r="D40" s="242">
        <f>SUM(F40:O40)</f>
        <v>18404.01723058425</v>
      </c>
      <c r="E40" s="71"/>
      <c r="F40" s="149">
        <f t="shared" ref="F40:O40" si="15">F18*F36</f>
        <v>1422.72</v>
      </c>
      <c r="G40" s="149">
        <f t="shared" si="15"/>
        <v>1502.3923199999999</v>
      </c>
      <c r="H40" s="149">
        <f t="shared" si="15"/>
        <v>1586.52628992</v>
      </c>
      <c r="I40" s="149">
        <f t="shared" si="15"/>
        <v>1675.3717621555199</v>
      </c>
      <c r="J40" s="149">
        <f t="shared" si="15"/>
        <v>1769.1925808362294</v>
      </c>
      <c r="K40" s="149">
        <f t="shared" si="15"/>
        <v>1868.2673653630584</v>
      </c>
      <c r="L40" s="149">
        <f t="shared" si="15"/>
        <v>1972.8903378233895</v>
      </c>
      <c r="M40" s="149">
        <f t="shared" si="15"/>
        <v>2083.372196741499</v>
      </c>
      <c r="N40" s="149">
        <f t="shared" si="15"/>
        <v>2200.0410397590235</v>
      </c>
      <c r="O40" s="149">
        <f t="shared" si="15"/>
        <v>2323.2433379855288</v>
      </c>
      <c r="P40" s="71"/>
      <c r="Q40" s="71"/>
      <c r="R40" s="71"/>
      <c r="S40" s="156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146"/>
    </row>
    <row r="41" spans="1:31">
      <c r="A41" s="146"/>
      <c r="B41" s="539"/>
      <c r="C41" s="238"/>
      <c r="D41" s="242"/>
      <c r="E41" s="71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71"/>
      <c r="Q41" s="146"/>
      <c r="R41" s="71"/>
      <c r="S41" s="156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146"/>
    </row>
    <row r="42" spans="1:31">
      <c r="A42" s="146"/>
      <c r="B42" s="173" t="s">
        <v>294</v>
      </c>
      <c r="C42" s="238" t="s">
        <v>19</v>
      </c>
      <c r="D42" s="242">
        <f>SUM(F42:O42)</f>
        <v>111616.26644297654</v>
      </c>
      <c r="E42" s="71"/>
      <c r="F42" s="149">
        <f t="shared" ref="F42:O42" si="16">F25-F38</f>
        <v>8628.48</v>
      </c>
      <c r="G42" s="149">
        <f t="shared" si="16"/>
        <v>9111.6748800000005</v>
      </c>
      <c r="H42" s="149">
        <f t="shared" si="16"/>
        <v>9621.9286732799992</v>
      </c>
      <c r="I42" s="149">
        <f t="shared" si="16"/>
        <v>10160.75667898368</v>
      </c>
      <c r="J42" s="149">
        <f t="shared" si="16"/>
        <v>10729.759053006768</v>
      </c>
      <c r="K42" s="149">
        <f t="shared" si="16"/>
        <v>11330.625559975149</v>
      </c>
      <c r="L42" s="149">
        <f t="shared" si="16"/>
        <v>11965.140591333755</v>
      </c>
      <c r="M42" s="149">
        <f t="shared" si="16"/>
        <v>12635.188464448445</v>
      </c>
      <c r="N42" s="149">
        <f t="shared" si="16"/>
        <v>13342.75901845756</v>
      </c>
      <c r="O42" s="149">
        <f t="shared" si="16"/>
        <v>14089.953523491182</v>
      </c>
      <c r="P42" s="71"/>
      <c r="Q42" s="71"/>
      <c r="R42" s="71"/>
      <c r="S42" s="156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146"/>
    </row>
    <row r="43" spans="1:31">
      <c r="A43" s="146"/>
      <c r="B43" s="173"/>
      <c r="C43" s="238"/>
      <c r="D43" s="242"/>
      <c r="E43" s="71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71"/>
      <c r="Q43" s="71"/>
      <c r="R43" s="71"/>
      <c r="S43" s="156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133"/>
    </row>
    <row r="44" spans="1:31" s="69" customFormat="1" ht="43.5">
      <c r="A44" s="571"/>
      <c r="B44" s="573" t="s">
        <v>295</v>
      </c>
      <c r="C44" s="238" t="s">
        <v>19</v>
      </c>
      <c r="D44" s="577">
        <f>SUM(F44:O44)</f>
        <v>536156.70844929805</v>
      </c>
      <c r="E44" s="563"/>
      <c r="F44" s="223">
        <f>SUM(F45:F46)</f>
        <v>41447.520000000004</v>
      </c>
      <c r="G44" s="223">
        <f t="shared" ref="G44:O44" si="17">SUM(G45:G46)</f>
        <v>43768.581120000003</v>
      </c>
      <c r="H44" s="223">
        <f t="shared" si="17"/>
        <v>46219.621662720005</v>
      </c>
      <c r="I44" s="223">
        <f t="shared" si="17"/>
        <v>48807.920475832318</v>
      </c>
      <c r="J44" s="223">
        <f t="shared" si="17"/>
        <v>51541.164022478944</v>
      </c>
      <c r="K44" s="223">
        <f t="shared" si="17"/>
        <v>54427.469207737769</v>
      </c>
      <c r="L44" s="223">
        <f t="shared" si="17"/>
        <v>57475.407483371077</v>
      </c>
      <c r="M44" s="223">
        <f t="shared" si="17"/>
        <v>60694.03030243986</v>
      </c>
      <c r="N44" s="223">
        <f t="shared" si="17"/>
        <v>64092.895999376495</v>
      </c>
      <c r="O44" s="223">
        <f t="shared" si="17"/>
        <v>67682.098175341584</v>
      </c>
      <c r="P44" s="563"/>
      <c r="Q44" s="563"/>
      <c r="R44" s="563"/>
      <c r="S44" s="566"/>
      <c r="T44" s="563"/>
      <c r="U44" s="563"/>
      <c r="V44" s="563"/>
      <c r="W44" s="563"/>
      <c r="X44" s="563"/>
      <c r="Y44" s="563"/>
      <c r="Z44" s="563"/>
      <c r="AA44" s="563"/>
      <c r="AB44" s="563"/>
      <c r="AC44" s="563"/>
      <c r="AD44" s="563"/>
      <c r="AE44" s="568"/>
    </row>
    <row r="45" spans="1:31" s="69" customFormat="1" ht="30">
      <c r="A45" s="571"/>
      <c r="B45" s="176" t="s">
        <v>148</v>
      </c>
      <c r="C45" s="238" t="s">
        <v>19</v>
      </c>
      <c r="D45" s="577">
        <f>SUM(F45:O45)</f>
        <v>275594.56976365787</v>
      </c>
      <c r="E45" s="563"/>
      <c r="F45" s="564">
        <f t="shared" ref="F45:O45" si="18">F17+F39</f>
        <v>21304.799999999999</v>
      </c>
      <c r="G45" s="564">
        <f t="shared" si="18"/>
        <v>22497.868800000004</v>
      </c>
      <c r="H45" s="564">
        <f t="shared" si="18"/>
        <v>23757.749452800006</v>
      </c>
      <c r="I45" s="564">
        <f t="shared" si="18"/>
        <v>25088.183422156802</v>
      </c>
      <c r="J45" s="564">
        <f t="shared" si="18"/>
        <v>26493.121693797588</v>
      </c>
      <c r="K45" s="564">
        <f t="shared" si="18"/>
        <v>27976.736508650254</v>
      </c>
      <c r="L45" s="564">
        <f t="shared" si="18"/>
        <v>29543.433753134668</v>
      </c>
      <c r="M45" s="564">
        <f t="shared" si="18"/>
        <v>31197.866043310212</v>
      </c>
      <c r="N45" s="564">
        <f t="shared" si="18"/>
        <v>32944.946541735582</v>
      </c>
      <c r="O45" s="564">
        <f t="shared" si="18"/>
        <v>34789.863548072775</v>
      </c>
      <c r="P45" s="563"/>
      <c r="Q45" s="563"/>
      <c r="R45" s="563"/>
      <c r="S45" s="566"/>
      <c r="T45" s="563"/>
      <c r="U45" s="563"/>
      <c r="V45" s="563"/>
      <c r="W45" s="563"/>
      <c r="X45" s="563"/>
      <c r="Y45" s="563"/>
      <c r="Z45" s="563"/>
      <c r="AA45" s="563"/>
      <c r="AB45" s="563"/>
      <c r="AC45" s="563"/>
      <c r="AD45" s="563"/>
      <c r="AE45" s="568"/>
    </row>
    <row r="46" spans="1:31" s="69" customFormat="1">
      <c r="A46" s="571"/>
      <c r="B46" s="176" t="s">
        <v>150</v>
      </c>
      <c r="C46" s="238" t="s">
        <v>19</v>
      </c>
      <c r="D46" s="577">
        <f>SUM(F46:O46)</f>
        <v>260562.13868564012</v>
      </c>
      <c r="E46" s="563"/>
      <c r="F46" s="564">
        <f t="shared" ref="F46:O46" si="19">F18+F40</f>
        <v>20142.72</v>
      </c>
      <c r="G46" s="564">
        <f t="shared" si="19"/>
        <v>21270.712319999999</v>
      </c>
      <c r="H46" s="564">
        <f t="shared" si="19"/>
        <v>22461.872209919999</v>
      </c>
      <c r="I46" s="564">
        <f t="shared" si="19"/>
        <v>23719.737053675519</v>
      </c>
      <c r="J46" s="564">
        <f t="shared" si="19"/>
        <v>25048.042328681353</v>
      </c>
      <c r="K46" s="564">
        <f t="shared" si="19"/>
        <v>26450.732699087512</v>
      </c>
      <c r="L46" s="564">
        <f t="shared" si="19"/>
        <v>27931.973730236408</v>
      </c>
      <c r="M46" s="564">
        <f t="shared" si="19"/>
        <v>29496.164259129648</v>
      </c>
      <c r="N46" s="564">
        <f t="shared" si="19"/>
        <v>31147.949457640912</v>
      </c>
      <c r="O46" s="564">
        <f t="shared" si="19"/>
        <v>32892.234627268801</v>
      </c>
      <c r="P46" s="563"/>
      <c r="Q46" s="563"/>
      <c r="R46" s="563"/>
      <c r="S46" s="566"/>
      <c r="T46" s="563"/>
      <c r="U46" s="563"/>
      <c r="V46" s="563"/>
      <c r="W46" s="563"/>
      <c r="X46" s="563"/>
      <c r="Y46" s="563"/>
      <c r="Z46" s="563"/>
      <c r="AA46" s="563"/>
      <c r="AB46" s="563"/>
      <c r="AC46" s="563"/>
      <c r="AD46" s="563"/>
      <c r="AE46" s="568"/>
    </row>
    <row r="47" spans="1:31">
      <c r="A47" s="146"/>
      <c r="B47" s="173"/>
      <c r="C47" s="238"/>
      <c r="D47" s="242"/>
      <c r="E47" s="71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71"/>
      <c r="Q47" s="71"/>
      <c r="R47" s="71"/>
      <c r="S47" s="156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133"/>
    </row>
    <row r="48" spans="1:31">
      <c r="A48" s="146"/>
      <c r="B48" s="173"/>
      <c r="C48" s="238"/>
      <c r="D48" s="242"/>
      <c r="E48" s="71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71"/>
      <c r="Q48" s="71"/>
      <c r="R48" s="71"/>
      <c r="S48" s="156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133"/>
    </row>
    <row r="49" spans="1:31">
      <c r="A49" s="570" t="s">
        <v>764</v>
      </c>
      <c r="B49" s="572"/>
      <c r="C49" s="575"/>
      <c r="D49" s="575"/>
      <c r="E49" s="7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156"/>
      <c r="Q49" s="71"/>
      <c r="R49" s="71"/>
      <c r="S49" s="156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</row>
    <row r="50" spans="1:31">
      <c r="A50" s="146"/>
      <c r="B50" s="173"/>
      <c r="C50" s="238"/>
      <c r="D50" s="242"/>
      <c r="E50" s="71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71"/>
      <c r="Q50" s="71"/>
      <c r="R50" s="71"/>
      <c r="S50" s="156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133"/>
    </row>
    <row r="51" spans="1:31" s="6" customFormat="1" ht="29.25">
      <c r="A51" s="701">
        <f>ROUND(D51/1000,2)</f>
        <v>64.78</v>
      </c>
      <c r="B51" s="573" t="s">
        <v>156</v>
      </c>
      <c r="C51" s="700" t="s">
        <v>19</v>
      </c>
      <c r="D51" s="578">
        <f>SUM(F51:O51)</f>
        <v>64777.297489227465</v>
      </c>
      <c r="E51" s="124"/>
      <c r="F51" s="565">
        <f>SUM(F53:F54)</f>
        <v>5007.5999999999995</v>
      </c>
      <c r="G51" s="565">
        <f t="shared" ref="G51:O51" si="20">SUM(G53:G54)</f>
        <v>5288.0256000000008</v>
      </c>
      <c r="H51" s="565">
        <f t="shared" si="20"/>
        <v>5584.1550336</v>
      </c>
      <c r="I51" s="565">
        <f t="shared" si="20"/>
        <v>5896.8677154815996</v>
      </c>
      <c r="J51" s="565">
        <f t="shared" si="20"/>
        <v>6227.0923075485716</v>
      </c>
      <c r="K51" s="565">
        <f t="shared" si="20"/>
        <v>6575.8094767712919</v>
      </c>
      <c r="L51" s="565">
        <f t="shared" si="20"/>
        <v>6944.0548074704839</v>
      </c>
      <c r="M51" s="565">
        <f t="shared" si="20"/>
        <v>7332.9218766888307</v>
      </c>
      <c r="N51" s="565">
        <f t="shared" si="20"/>
        <v>7743.5655017834051</v>
      </c>
      <c r="O51" s="565">
        <f t="shared" si="20"/>
        <v>8177.2051698832765</v>
      </c>
      <c r="P51" s="124"/>
      <c r="Q51" s="124"/>
      <c r="R51" s="124"/>
      <c r="S51" s="567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569"/>
    </row>
    <row r="52" spans="1:31">
      <c r="A52" s="702"/>
      <c r="B52" s="173" t="s">
        <v>590</v>
      </c>
      <c r="C52" s="238"/>
      <c r="D52" s="578"/>
      <c r="E52" s="71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71"/>
      <c r="Q52" s="71"/>
      <c r="R52" s="71"/>
      <c r="S52" s="156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133"/>
    </row>
    <row r="53" spans="1:31">
      <c r="A53" s="701">
        <f>ROUND(D53/1000,2)</f>
        <v>54.81</v>
      </c>
      <c r="B53" s="173" t="s">
        <v>756</v>
      </c>
      <c r="C53" s="238" t="s">
        <v>19</v>
      </c>
      <c r="D53" s="578">
        <f>SUM(F53:O53)</f>
        <v>54811.559413961695</v>
      </c>
      <c r="E53" s="71"/>
      <c r="F53" s="149">
        <f>F16*Макро!F65</f>
        <v>4237.2</v>
      </c>
      <c r="G53" s="149">
        <f>G16*Макро!G65</f>
        <v>4474.4832000000006</v>
      </c>
      <c r="H53" s="149">
        <f>H16*Макро!H65</f>
        <v>4725.0542592000002</v>
      </c>
      <c r="I53" s="149">
        <f>I16*Макро!I65</f>
        <v>4989.6572977152</v>
      </c>
      <c r="J53" s="149">
        <f>J16*Макро!J65</f>
        <v>5269.0781063872528</v>
      </c>
      <c r="K53" s="149">
        <f>K16*Макро!K65</f>
        <v>5564.1464803449389</v>
      </c>
      <c r="L53" s="149">
        <f>L16*Макро!L65</f>
        <v>5875.7386832442553</v>
      </c>
      <c r="M53" s="149">
        <f>M16*Макро!M65</f>
        <v>6204.7800495059337</v>
      </c>
      <c r="N53" s="149">
        <f>N16*Макро!N65</f>
        <v>6552.2477322782661</v>
      </c>
      <c r="O53" s="149">
        <f>O16*Макро!O65</f>
        <v>6919.1736052858496</v>
      </c>
      <c r="P53" s="71"/>
      <c r="Q53" s="71"/>
      <c r="R53" s="71"/>
      <c r="S53" s="156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133"/>
    </row>
    <row r="54" spans="1:31">
      <c r="A54" s="701">
        <f>ROUND(D54/1000,2)</f>
        <v>9.9700000000000006</v>
      </c>
      <c r="B54" s="173" t="s">
        <v>596</v>
      </c>
      <c r="C54" s="238" t="s">
        <v>19</v>
      </c>
      <c r="D54" s="578">
        <f>SUM(F54:O54)</f>
        <v>9965.7380752657646</v>
      </c>
      <c r="E54" s="71"/>
      <c r="F54" s="149">
        <f>F16*Макро!F66</f>
        <v>770.4</v>
      </c>
      <c r="G54" s="149">
        <f>G16*Макро!G66</f>
        <v>813.54240000000004</v>
      </c>
      <c r="H54" s="149">
        <f>H16*Макро!H66</f>
        <v>859.10077440000009</v>
      </c>
      <c r="I54" s="149">
        <f>I16*Макро!I66</f>
        <v>907.21041776640004</v>
      </c>
      <c r="J54" s="149">
        <f>J16*Макро!J66</f>
        <v>958.01420116131862</v>
      </c>
      <c r="K54" s="149">
        <f>K16*Макро!K66</f>
        <v>1011.6629964263525</v>
      </c>
      <c r="L54" s="149">
        <f>L16*Макро!L66</f>
        <v>1068.3161242262283</v>
      </c>
      <c r="M54" s="149">
        <f>M16*Макро!M66</f>
        <v>1128.141827182897</v>
      </c>
      <c r="N54" s="149">
        <f>N16*Макро!N66</f>
        <v>1191.3177695051393</v>
      </c>
      <c r="O54" s="149">
        <f>O16*Макро!O66</f>
        <v>1258.0315645974272</v>
      </c>
      <c r="P54" s="71"/>
      <c r="Q54" s="71"/>
      <c r="R54" s="71"/>
      <c r="S54" s="156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133"/>
    </row>
    <row r="55" spans="1:31">
      <c r="A55" s="146"/>
      <c r="B55" s="173"/>
      <c r="C55" s="238"/>
      <c r="D55" s="578"/>
      <c r="E55" s="71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71"/>
      <c r="Q55" s="71"/>
      <c r="R55" s="71"/>
      <c r="S55" s="156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133"/>
    </row>
    <row r="56" spans="1:31">
      <c r="A56" s="146"/>
      <c r="B56" s="173" t="s">
        <v>158</v>
      </c>
      <c r="C56" s="238" t="s">
        <v>19</v>
      </c>
      <c r="D56" s="578">
        <f>SUM(F56:O56)</f>
        <v>433509.60627406067</v>
      </c>
      <c r="E56" s="71"/>
      <c r="F56" s="149">
        <f t="shared" ref="F56:O56" si="21">F16-F51</f>
        <v>33512.400000000001</v>
      </c>
      <c r="G56" s="149">
        <f t="shared" si="21"/>
        <v>35389.094400000002</v>
      </c>
      <c r="H56" s="149">
        <f t="shared" si="21"/>
        <v>37370.883686400004</v>
      </c>
      <c r="I56" s="149">
        <f t="shared" si="21"/>
        <v>39463.6531728384</v>
      </c>
      <c r="J56" s="149">
        <f t="shared" si="21"/>
        <v>41673.617750517362</v>
      </c>
      <c r="K56" s="149">
        <f t="shared" si="21"/>
        <v>44007.340344546334</v>
      </c>
      <c r="L56" s="149">
        <f t="shared" si="21"/>
        <v>46471.751403840928</v>
      </c>
      <c r="M56" s="149">
        <f t="shared" si="21"/>
        <v>49074.169482456018</v>
      </c>
      <c r="N56" s="149">
        <f t="shared" si="21"/>
        <v>51822.322973473558</v>
      </c>
      <c r="O56" s="149">
        <f t="shared" si="21"/>
        <v>54724.37305998808</v>
      </c>
      <c r="P56" s="71"/>
      <c r="Q56" s="71"/>
      <c r="R56" s="71"/>
      <c r="S56" s="156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133"/>
    </row>
    <row r="57" spans="1:31">
      <c r="A57" s="146"/>
      <c r="B57" s="173"/>
      <c r="C57" s="238"/>
      <c r="D57" s="242"/>
      <c r="E57" s="71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71"/>
      <c r="Q57" s="71"/>
      <c r="R57" s="71"/>
      <c r="S57" s="156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133"/>
    </row>
    <row r="58" spans="1:31" ht="15.75" thickBot="1">
      <c r="A58" s="132"/>
      <c r="B58" s="187"/>
      <c r="C58" s="187"/>
      <c r="D58" s="132"/>
      <c r="E58" s="71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71"/>
      <c r="Q58" s="132"/>
      <c r="R58" s="71"/>
      <c r="S58" s="156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132"/>
    </row>
    <row r="60" spans="1:31">
      <c r="A60" s="71"/>
      <c r="B60" s="574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</row>
    <row r="63" spans="1:31">
      <c r="A63" s="71"/>
      <c r="B63" s="169" t="str">
        <f t="array" aca="1" ref="B63" ca="1">HYPERLINK(CELL("адрес",БДР!$A$1),"Перейти на лист БДР")</f>
        <v>Перейти на лист БДР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</row>
    <row r="64" spans="1:31">
      <c r="A64" s="71"/>
      <c r="B64" s="169" t="str">
        <f t="array" aca="1" ref="B64" ca="1">HYPERLINK(CELL("адрес",БДДС!$A$1),"Перейти на лист БДДС")</f>
        <v>Перейти на лист БДДС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</row>
    <row r="65" spans="2:2">
      <c r="B65" s="169" t="str">
        <f t="array" aca="1" ref="B65" ca="1">HYPERLINK(CELL("адрес",Баланс!$A$1),"Перейти на лист Баланс")</f>
        <v>Перейти на лист Баланс</v>
      </c>
    </row>
    <row r="66" spans="2:2">
      <c r="B66" s="169" t="str">
        <f t="array" aca="1" ref="B66" ca="1">HYPERLINK(CELL("адрес",Дашборд_ИтогТабл!$A$1),"Перейти на лист Дашборд_1")</f>
        <v>Перейти на лист Дашборд_1</v>
      </c>
    </row>
    <row r="67" spans="2:2" ht="30">
      <c r="B67" s="169" t="str">
        <f t="array" aca="1" ref="B67" ca="1">HYPERLINK(CELL("адрес",Дашборд_Основной!$A$1),"Перейти на лист Дашборд_Общий")</f>
        <v>Перейти на лист Дашборд_Общий</v>
      </c>
    </row>
    <row r="68" spans="2:2" ht="30">
      <c r="B68" s="169" t="str">
        <f t="array" aca="1" ref="B68" ca="1">HYPERLINK(CELL("адрес",Дашборд_налоги!$A$1),"Перейти на лист Дашборд_Налоги")</f>
        <v>Перейти на лист Дашборд_Налоги</v>
      </c>
    </row>
  </sheetData>
  <mergeCells count="1">
    <mergeCell ref="A5:D5"/>
  </mergeCells>
  <hyperlinks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63" fitToHeight="7" orientation="landscape" r:id="rId1"/>
  <headerFooter>
    <oddFooter>&amp;C&amp;9Страница  &amp;P из &amp;N&amp;R&amp;G</oddFooter>
  </headerFooter>
  <drawing r:id="rId2"/>
  <legacyDrawingHF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Макро!F81:P81</xm:f>
              <xm:sqref>Q13</xm:sqref>
            </x14:sparkline>
            <x14:sparkline>
              <xm:sqref>Q14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Макро!F80:P80</xm:f>
              <xm:sqref>Q12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Персонал!F16:O16</xm:f>
              <xm:sqref>Q16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Персонал!F25:O25</xm:f>
              <xm:sqref>Q25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Персонал!F29:O29</xm:f>
              <xm:sqref>Q29</xm:sqref>
            </x14:sparkline>
          </x14:sparklines>
        </x14:sparklineGroup>
        <x14:sparklineGroup manualMax="0" manualMin="0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Персонал!F7:O7</xm:f>
              <xm:sqref>Q7</xm:sqref>
            </x14:sparkline>
          </x14:sparklines>
        </x14:sparklineGroup>
      </x14:sparklineGroup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9" tint="0.59999389629810485"/>
    <outlinePr summaryBelow="0" summaryRight="0"/>
    <pageSetUpPr fitToPage="1"/>
  </sheetPr>
  <dimension ref="A1:CA68"/>
  <sheetViews>
    <sheetView zoomScaleNormal="100" workbookViewId="0">
      <pane xSplit="4" ySplit="3" topLeftCell="E4" activePane="bottomRight" state="frozen"/>
      <selection pane="topRight"/>
      <selection pane="bottomLeft"/>
      <selection pane="bottomRight" activeCell="M22" sqref="M22"/>
    </sheetView>
  </sheetViews>
  <sheetFormatPr defaultColWidth="0" defaultRowHeight="15" outlineLevelCol="1"/>
  <cols>
    <col min="1" max="1" width="9.85546875" customWidth="1"/>
    <col min="2" max="2" width="30.28515625" style="2" customWidth="1"/>
    <col min="3" max="3" width="11" customWidth="1"/>
    <col min="4" max="4" width="10.140625" customWidth="1"/>
    <col min="5" max="5" width="2.28515625" customWidth="1"/>
    <col min="6" max="15" width="8.85546875" customWidth="1"/>
    <col min="16" max="16" width="1.140625" customWidth="1"/>
    <col min="17" max="17" width="13.42578125" customWidth="1"/>
    <col min="18" max="18" width="1.7109375" customWidth="1"/>
    <col min="19" max="19" width="2.85546875" customWidth="1" collapsed="1"/>
    <col min="20" max="30" width="8.85546875" hidden="1" customWidth="1" outlineLevel="1"/>
    <col min="31" max="31" width="1.5703125" customWidth="1"/>
    <col min="32" max="32" width="35" customWidth="1"/>
    <col min="33" max="35" width="8.85546875" customWidth="1"/>
    <col min="36" max="79" width="0" hidden="1" customWidth="1"/>
    <col min="80" max="16384" width="8.85546875" hidden="1"/>
  </cols>
  <sheetData>
    <row r="1" spans="1:32" ht="25.5">
      <c r="A1" s="651" t="s">
        <v>252</v>
      </c>
      <c r="B1" s="164"/>
      <c r="C1" s="71"/>
      <c r="D1" s="71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71"/>
      <c r="R1" s="71"/>
      <c r="S1" s="155" t="s">
        <v>181</v>
      </c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</row>
    <row r="2" spans="1:32">
      <c r="A2" s="71" t="str">
        <f>Паспорт_ФМ_резидент!B7</f>
        <v>Разработка, производство, модернизация и реализация …</v>
      </c>
      <c r="B2" s="164"/>
      <c r="C2" s="71"/>
      <c r="D2" s="126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71"/>
      <c r="Q2" s="71"/>
      <c r="R2" s="71"/>
      <c r="S2" s="156"/>
      <c r="T2" s="159">
        <v>11</v>
      </c>
      <c r="U2" s="159">
        <f t="shared" ref="U2:W3" si="0">T2+1</f>
        <v>12</v>
      </c>
      <c r="V2" s="159">
        <f t="shared" si="0"/>
        <v>13</v>
      </c>
      <c r="W2" s="126">
        <f t="shared" si="0"/>
        <v>14</v>
      </c>
      <c r="X2" s="126">
        <f t="shared" ref="X2:AD3" si="1">W2+1</f>
        <v>15</v>
      </c>
      <c r="Y2" s="126">
        <f t="shared" si="1"/>
        <v>16</v>
      </c>
      <c r="Z2" s="126">
        <f t="shared" si="1"/>
        <v>17</v>
      </c>
      <c r="AA2" s="126">
        <f t="shared" si="1"/>
        <v>18</v>
      </c>
      <c r="AB2" s="126">
        <f t="shared" si="1"/>
        <v>19</v>
      </c>
      <c r="AC2" s="126">
        <f t="shared" si="1"/>
        <v>20</v>
      </c>
      <c r="AD2" s="126">
        <f t="shared" si="1"/>
        <v>21</v>
      </c>
      <c r="AE2" s="71"/>
      <c r="AF2" s="71"/>
    </row>
    <row r="3" spans="1:32" s="18" customFormat="1" ht="42.75">
      <c r="A3" s="127" t="s">
        <v>2</v>
      </c>
      <c r="B3" s="230" t="s">
        <v>3</v>
      </c>
      <c r="C3" s="127" t="s">
        <v>12</v>
      </c>
      <c r="D3" s="194" t="str">
        <f>CONCATENATE("Итого ",F3,"-",O3)</f>
        <v>Итого 2025-2034</v>
      </c>
      <c r="E3" s="152"/>
      <c r="F3" s="766">
        <v>2025</v>
      </c>
      <c r="G3" s="127">
        <f t="shared" ref="G3:O3" si="2">F3+1</f>
        <v>2026</v>
      </c>
      <c r="H3" s="127">
        <f t="shared" si="2"/>
        <v>2027</v>
      </c>
      <c r="I3" s="127">
        <f t="shared" si="2"/>
        <v>2028</v>
      </c>
      <c r="J3" s="127">
        <f t="shared" si="2"/>
        <v>2029</v>
      </c>
      <c r="K3" s="127">
        <f t="shared" si="2"/>
        <v>2030</v>
      </c>
      <c r="L3" s="127">
        <f t="shared" si="2"/>
        <v>2031</v>
      </c>
      <c r="M3" s="127">
        <f t="shared" si="2"/>
        <v>2032</v>
      </c>
      <c r="N3" s="127">
        <f t="shared" si="2"/>
        <v>2033</v>
      </c>
      <c r="O3" s="127">
        <f t="shared" si="2"/>
        <v>2034</v>
      </c>
      <c r="P3" s="152"/>
      <c r="Q3" s="127" t="s">
        <v>106</v>
      </c>
      <c r="R3" s="152"/>
      <c r="S3" s="157"/>
      <c r="T3" s="160">
        <v>2034</v>
      </c>
      <c r="U3" s="160">
        <f t="shared" si="0"/>
        <v>2035</v>
      </c>
      <c r="V3" s="160">
        <f t="shared" si="0"/>
        <v>2036</v>
      </c>
      <c r="W3" s="160">
        <f t="shared" si="0"/>
        <v>2037</v>
      </c>
      <c r="X3" s="160">
        <f t="shared" si="1"/>
        <v>2038</v>
      </c>
      <c r="Y3" s="160">
        <f t="shared" si="1"/>
        <v>2039</v>
      </c>
      <c r="Z3" s="160">
        <f t="shared" si="1"/>
        <v>2040</v>
      </c>
      <c r="AA3" s="160">
        <f t="shared" si="1"/>
        <v>2041</v>
      </c>
      <c r="AB3" s="160">
        <f t="shared" si="1"/>
        <v>2042</v>
      </c>
      <c r="AC3" s="160">
        <f t="shared" si="1"/>
        <v>2043</v>
      </c>
      <c r="AD3" s="160">
        <f t="shared" si="1"/>
        <v>2044</v>
      </c>
      <c r="AE3" s="152"/>
      <c r="AF3" s="230" t="s">
        <v>202</v>
      </c>
    </row>
    <row r="4" spans="1:32" ht="7.15" customHeight="1">
      <c r="A4" s="146"/>
      <c r="B4" s="173"/>
      <c r="C4" s="146"/>
      <c r="D4" s="146"/>
      <c r="E4" s="71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71"/>
      <c r="Q4" s="146"/>
      <c r="R4" s="71"/>
      <c r="S4" s="156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146"/>
    </row>
    <row r="5" spans="1:32" ht="29.25">
      <c r="A5" s="236"/>
      <c r="B5" s="697" t="s">
        <v>253</v>
      </c>
      <c r="C5" s="238" t="s">
        <v>19</v>
      </c>
      <c r="D5" s="242">
        <f>SUM(F5:O5)</f>
        <v>0</v>
      </c>
      <c r="E5" s="71"/>
      <c r="F5" s="223">
        <f t="shared" ref="F5:O5" si="3">SUM(F11,F15,F19,F23,F27,F31,F35,F40)</f>
        <v>0</v>
      </c>
      <c r="G5" s="223">
        <f t="shared" si="3"/>
        <v>0</v>
      </c>
      <c r="H5" s="223">
        <f t="shared" si="3"/>
        <v>0</v>
      </c>
      <c r="I5" s="223">
        <f t="shared" si="3"/>
        <v>0</v>
      </c>
      <c r="J5" s="223">
        <f t="shared" si="3"/>
        <v>0</v>
      </c>
      <c r="K5" s="223">
        <f t="shared" si="3"/>
        <v>0</v>
      </c>
      <c r="L5" s="223">
        <f t="shared" si="3"/>
        <v>0</v>
      </c>
      <c r="M5" s="223">
        <f t="shared" si="3"/>
        <v>0</v>
      </c>
      <c r="N5" s="223">
        <f t="shared" si="3"/>
        <v>0</v>
      </c>
      <c r="O5" s="223">
        <f t="shared" si="3"/>
        <v>0</v>
      </c>
      <c r="P5" s="71"/>
      <c r="Q5" s="133"/>
      <c r="R5" s="71"/>
      <c r="S5" s="156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133"/>
    </row>
    <row r="6" spans="1:32">
      <c r="A6" s="356" t="str">
        <f t="array" aca="1" ref="A6" ca="1">HYPERLINK(CELL("адрес",Макро!$B$31),"источник")</f>
        <v>источник</v>
      </c>
      <c r="B6" s="560" t="s">
        <v>238</v>
      </c>
      <c r="C6" s="238" t="s">
        <v>19</v>
      </c>
      <c r="D6" s="242">
        <f>SUM(F6:O6)</f>
        <v>0</v>
      </c>
      <c r="E6" s="71"/>
      <c r="F6" s="223">
        <f>F5*Макро!F31</f>
        <v>0</v>
      </c>
      <c r="G6" s="223">
        <f>G5*Макро!G31</f>
        <v>0</v>
      </c>
      <c r="H6" s="223">
        <f>H5*Макро!H31</f>
        <v>0</v>
      </c>
      <c r="I6" s="223">
        <f>I5*Макро!I31</f>
        <v>0</v>
      </c>
      <c r="J6" s="223">
        <f>J5*Макро!J31</f>
        <v>0</v>
      </c>
      <c r="K6" s="223">
        <f>K5*Макро!K31</f>
        <v>0</v>
      </c>
      <c r="L6" s="223">
        <f>L5*Макро!L31</f>
        <v>0</v>
      </c>
      <c r="M6" s="223">
        <f>M5*Макро!M31</f>
        <v>0</v>
      </c>
      <c r="N6" s="223">
        <f>N5*Макро!N31</f>
        <v>0</v>
      </c>
      <c r="O6" s="223">
        <f>O5*Макро!O31</f>
        <v>0</v>
      </c>
      <c r="P6" s="71"/>
      <c r="Q6" s="133"/>
      <c r="R6" s="71"/>
      <c r="S6" s="156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133"/>
    </row>
    <row r="7" spans="1:32">
      <c r="A7" s="236"/>
      <c r="B7" s="560" t="s">
        <v>248</v>
      </c>
      <c r="C7" s="238" t="s">
        <v>19</v>
      </c>
      <c r="D7" s="242">
        <f>SUM(F7:O7)</f>
        <v>0</v>
      </c>
      <c r="E7" s="71"/>
      <c r="F7" s="223">
        <f>SUM(F5:F6)</f>
        <v>0</v>
      </c>
      <c r="G7" s="223">
        <f t="shared" ref="G7:O7" si="4">SUM(G5:G6)</f>
        <v>0</v>
      </c>
      <c r="H7" s="223">
        <f t="shared" si="4"/>
        <v>0</v>
      </c>
      <c r="I7" s="223">
        <f t="shared" si="4"/>
        <v>0</v>
      </c>
      <c r="J7" s="223">
        <f t="shared" si="4"/>
        <v>0</v>
      </c>
      <c r="K7" s="223">
        <f t="shared" si="4"/>
        <v>0</v>
      </c>
      <c r="L7" s="223">
        <f t="shared" si="4"/>
        <v>0</v>
      </c>
      <c r="M7" s="223">
        <f t="shared" si="4"/>
        <v>0</v>
      </c>
      <c r="N7" s="223">
        <f t="shared" si="4"/>
        <v>0</v>
      </c>
      <c r="O7" s="223">
        <f t="shared" si="4"/>
        <v>0</v>
      </c>
      <c r="P7" s="71"/>
      <c r="Q7" s="133"/>
      <c r="R7" s="71"/>
      <c r="S7" s="156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133"/>
    </row>
    <row r="8" spans="1:32">
      <c r="A8" s="236"/>
      <c r="B8" s="173"/>
      <c r="C8" s="146"/>
      <c r="D8" s="146"/>
      <c r="E8" s="71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71"/>
      <c r="Q8" s="133"/>
      <c r="R8" s="71"/>
      <c r="S8" s="156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133"/>
    </row>
    <row r="9" spans="1:32" ht="15.75">
      <c r="A9" s="236"/>
      <c r="B9" s="698" t="s">
        <v>742</v>
      </c>
      <c r="C9" s="146"/>
      <c r="D9" s="146"/>
      <c r="E9" s="71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71"/>
      <c r="Q9" s="133"/>
      <c r="R9" s="71"/>
      <c r="S9" s="156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133"/>
    </row>
    <row r="10" spans="1:32" ht="15.75">
      <c r="A10" s="236"/>
      <c r="B10" s="698"/>
      <c r="C10" s="146"/>
      <c r="D10" s="146"/>
      <c r="E10" s="71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71"/>
      <c r="Q10" s="71"/>
      <c r="R10" s="71"/>
      <c r="S10" s="156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</row>
    <row r="11" spans="1:32" ht="29.25">
      <c r="A11" s="236"/>
      <c r="B11" s="539" t="s">
        <v>441</v>
      </c>
      <c r="C11" s="238" t="s">
        <v>19</v>
      </c>
      <c r="D11" s="242">
        <f>SUM(F11:O11)</f>
        <v>0</v>
      </c>
      <c r="E11" s="71"/>
      <c r="F11" s="352">
        <f t="shared" ref="F11:O11" si="5">F12*F13</f>
        <v>0</v>
      </c>
      <c r="G11" s="352">
        <f t="shared" si="5"/>
        <v>0</v>
      </c>
      <c r="H11" s="352">
        <f t="shared" si="5"/>
        <v>0</v>
      </c>
      <c r="I11" s="352">
        <f t="shared" si="5"/>
        <v>0</v>
      </c>
      <c r="J11" s="352">
        <f t="shared" si="5"/>
        <v>0</v>
      </c>
      <c r="K11" s="352">
        <f t="shared" si="5"/>
        <v>0</v>
      </c>
      <c r="L11" s="352">
        <f t="shared" si="5"/>
        <v>0</v>
      </c>
      <c r="M11" s="352">
        <f t="shared" si="5"/>
        <v>0</v>
      </c>
      <c r="N11" s="352">
        <f t="shared" si="5"/>
        <v>0</v>
      </c>
      <c r="O11" s="352">
        <f t="shared" si="5"/>
        <v>0</v>
      </c>
      <c r="P11" s="71"/>
      <c r="Q11" s="133"/>
      <c r="R11" s="71"/>
      <c r="S11" s="156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133"/>
    </row>
    <row r="12" spans="1:32">
      <c r="A12" s="221" t="str">
        <f t="array" aca="1" ref="A12" ca="1">HYPERLINK(CELL("адрес",Исходные!A39),"источник")</f>
        <v>источник</v>
      </c>
      <c r="B12" s="173" t="s">
        <v>441</v>
      </c>
      <c r="C12" s="186" t="s">
        <v>1072</v>
      </c>
      <c r="D12" s="242">
        <f>SUM(F12:O12)</f>
        <v>0</v>
      </c>
      <c r="E12" s="71"/>
      <c r="F12" s="352">
        <f>Исходные!F39</f>
        <v>0</v>
      </c>
      <c r="G12" s="352">
        <f>Исходные!G39</f>
        <v>0</v>
      </c>
      <c r="H12" s="352">
        <f>Исходные!H39</f>
        <v>0</v>
      </c>
      <c r="I12" s="352">
        <f>Исходные!I39</f>
        <v>0</v>
      </c>
      <c r="J12" s="352">
        <f>Исходные!J39</f>
        <v>0</v>
      </c>
      <c r="K12" s="352">
        <f>Исходные!K39</f>
        <v>0</v>
      </c>
      <c r="L12" s="352">
        <f>Исходные!L39</f>
        <v>0</v>
      </c>
      <c r="M12" s="352">
        <f>Исходные!M39</f>
        <v>0</v>
      </c>
      <c r="N12" s="352">
        <f>Исходные!N39</f>
        <v>0</v>
      </c>
      <c r="O12" s="352">
        <f>Исходные!O39</f>
        <v>0</v>
      </c>
      <c r="P12" s="71"/>
      <c r="Q12" s="133"/>
      <c r="R12" s="71"/>
      <c r="S12" s="156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133"/>
    </row>
    <row r="13" spans="1:32">
      <c r="A13" s="221" t="str">
        <f t="array" aca="1" ref="A13" ca="1">HYPERLINK(CELL("адрес",Макро!A88),"источник")</f>
        <v>источник</v>
      </c>
      <c r="B13" s="173" t="s">
        <v>250</v>
      </c>
      <c r="C13" s="186" t="s">
        <v>852</v>
      </c>
      <c r="D13" s="699" t="s">
        <v>134</v>
      </c>
      <c r="E13" s="71"/>
      <c r="F13" s="136">
        <f>Макро!F88</f>
        <v>9.35</v>
      </c>
      <c r="G13" s="136">
        <f>Макро!G88</f>
        <v>9.5837499999999984</v>
      </c>
      <c r="H13" s="136">
        <f>Макро!H88</f>
        <v>9.35</v>
      </c>
      <c r="I13" s="136">
        <f>Макро!I88</f>
        <v>9.5837499999999984</v>
      </c>
      <c r="J13" s="136">
        <f>Макро!J88</f>
        <v>9.8233437499999976</v>
      </c>
      <c r="K13" s="136">
        <f>Макро!K88</f>
        <v>9.9706939062499966</v>
      </c>
      <c r="L13" s="136">
        <f>Макро!L88</f>
        <v>10.120254314843745</v>
      </c>
      <c r="M13" s="136">
        <f>Макро!M88</f>
        <v>10.2720581295664</v>
      </c>
      <c r="N13" s="136">
        <f>Макро!N88</f>
        <v>10.426139001509895</v>
      </c>
      <c r="O13" s="136">
        <f>Макро!O88</f>
        <v>10.582531086532542</v>
      </c>
      <c r="P13" s="71"/>
      <c r="Q13" s="133"/>
      <c r="R13" s="71"/>
      <c r="S13" s="156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133"/>
    </row>
    <row r="14" spans="1:32">
      <c r="A14" s="146"/>
      <c r="B14" s="173"/>
      <c r="C14" s="146"/>
      <c r="D14" s="146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156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</row>
    <row r="15" spans="1:32" s="6" customFormat="1">
      <c r="A15" s="383"/>
      <c r="B15" s="539" t="s">
        <v>452</v>
      </c>
      <c r="C15" s="700" t="s">
        <v>19</v>
      </c>
      <c r="D15" s="242">
        <f>SUM(F15:O15)</f>
        <v>0</v>
      </c>
      <c r="E15" s="124"/>
      <c r="F15" s="576">
        <f t="shared" ref="F15:O15" si="6">F16*F17</f>
        <v>0</v>
      </c>
      <c r="G15" s="576">
        <f t="shared" si="6"/>
        <v>0</v>
      </c>
      <c r="H15" s="576">
        <f t="shared" si="6"/>
        <v>0</v>
      </c>
      <c r="I15" s="576">
        <f t="shared" si="6"/>
        <v>0</v>
      </c>
      <c r="J15" s="576">
        <f t="shared" si="6"/>
        <v>0</v>
      </c>
      <c r="K15" s="576">
        <f t="shared" si="6"/>
        <v>0</v>
      </c>
      <c r="L15" s="576">
        <f t="shared" si="6"/>
        <v>0</v>
      </c>
      <c r="M15" s="576">
        <f t="shared" si="6"/>
        <v>0</v>
      </c>
      <c r="N15" s="576">
        <f t="shared" si="6"/>
        <v>0</v>
      </c>
      <c r="O15" s="576">
        <f t="shared" si="6"/>
        <v>0</v>
      </c>
      <c r="P15" s="124"/>
      <c r="Q15" s="569"/>
      <c r="R15" s="124"/>
      <c r="S15" s="567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569"/>
    </row>
    <row r="16" spans="1:32">
      <c r="A16" s="221" t="str">
        <f t="array" aca="1" ref="A16" ca="1">HYPERLINK(CELL("адрес",Исходные!A48),"источник")</f>
        <v>источник</v>
      </c>
      <c r="B16" s="173" t="s">
        <v>456</v>
      </c>
      <c r="C16" s="186" t="s">
        <v>861</v>
      </c>
      <c r="D16" s="242">
        <f>SUM(F16:O16)</f>
        <v>0</v>
      </c>
      <c r="E16" s="71"/>
      <c r="F16" s="352">
        <f>Исходные!F48</f>
        <v>0</v>
      </c>
      <c r="G16" s="352">
        <f>Исходные!G48</f>
        <v>0</v>
      </c>
      <c r="H16" s="352">
        <f>Исходные!H48</f>
        <v>0</v>
      </c>
      <c r="I16" s="352">
        <f>Исходные!I48</f>
        <v>0</v>
      </c>
      <c r="J16" s="352">
        <f>Исходные!J48</f>
        <v>0</v>
      </c>
      <c r="K16" s="352">
        <f>Исходные!K48</f>
        <v>0</v>
      </c>
      <c r="L16" s="352">
        <f>Исходные!L48</f>
        <v>0</v>
      </c>
      <c r="M16" s="352">
        <f>Исходные!M48</f>
        <v>0</v>
      </c>
      <c r="N16" s="352">
        <f>Исходные!N48</f>
        <v>0</v>
      </c>
      <c r="O16" s="352">
        <f>Исходные!O48</f>
        <v>0</v>
      </c>
      <c r="P16" s="71"/>
      <c r="Q16" s="133"/>
      <c r="R16" s="71"/>
      <c r="S16" s="156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133"/>
    </row>
    <row r="17" spans="1:32">
      <c r="A17" s="221" t="str">
        <f t="array" aca="1" ref="A17" ca="1">HYPERLINK(CELL("адрес",Макро!A91),"источник")</f>
        <v>источник</v>
      </c>
      <c r="B17" s="173" t="s">
        <v>250</v>
      </c>
      <c r="C17" s="186" t="s">
        <v>186</v>
      </c>
      <c r="D17" s="699" t="s">
        <v>134</v>
      </c>
      <c r="E17" s="71"/>
      <c r="F17" s="136">
        <f>Макро!F91</f>
        <v>8</v>
      </c>
      <c r="G17" s="136">
        <f>Макро!G91</f>
        <v>8.32</v>
      </c>
      <c r="H17" s="136">
        <f>Макро!H91</f>
        <v>8</v>
      </c>
      <c r="I17" s="136">
        <f>Макро!I91</f>
        <v>8.32</v>
      </c>
      <c r="J17" s="136">
        <f>Макро!J91</f>
        <v>8.6528000000000009</v>
      </c>
      <c r="K17" s="136">
        <f>Макро!K91</f>
        <v>8.9989120000000007</v>
      </c>
      <c r="L17" s="136">
        <f>Макро!L91</f>
        <v>9.3588684800000017</v>
      </c>
      <c r="M17" s="136">
        <f>Макро!M91</f>
        <v>9.7332232192000028</v>
      </c>
      <c r="N17" s="136">
        <f>Макро!N91</f>
        <v>10.122552147968003</v>
      </c>
      <c r="O17" s="136">
        <f>Макро!O91</f>
        <v>10.527454233886724</v>
      </c>
      <c r="P17" s="71"/>
      <c r="Q17" s="133"/>
      <c r="R17" s="71"/>
      <c r="S17" s="156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133"/>
    </row>
    <row r="18" spans="1:32">
      <c r="A18" s="146"/>
      <c r="B18" s="173"/>
      <c r="C18" s="146"/>
      <c r="D18" s="146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156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</row>
    <row r="19" spans="1:32" s="6" customFormat="1">
      <c r="A19" s="383"/>
      <c r="B19" s="539" t="s">
        <v>458</v>
      </c>
      <c r="C19" s="700" t="s">
        <v>19</v>
      </c>
      <c r="D19" s="242">
        <f>SUM(F19:O19)</f>
        <v>0</v>
      </c>
      <c r="E19" s="124"/>
      <c r="F19" s="576">
        <f t="shared" ref="F19:O19" si="7">F20*F21</f>
        <v>0</v>
      </c>
      <c r="G19" s="576">
        <f t="shared" si="7"/>
        <v>0</v>
      </c>
      <c r="H19" s="576">
        <f t="shared" si="7"/>
        <v>0</v>
      </c>
      <c r="I19" s="576">
        <f t="shared" si="7"/>
        <v>0</v>
      </c>
      <c r="J19" s="576">
        <f t="shared" si="7"/>
        <v>0</v>
      </c>
      <c r="K19" s="576">
        <f t="shared" si="7"/>
        <v>0</v>
      </c>
      <c r="L19" s="576">
        <f t="shared" si="7"/>
        <v>0</v>
      </c>
      <c r="M19" s="576">
        <f t="shared" si="7"/>
        <v>0</v>
      </c>
      <c r="N19" s="576">
        <f t="shared" si="7"/>
        <v>0</v>
      </c>
      <c r="O19" s="576">
        <f t="shared" si="7"/>
        <v>0</v>
      </c>
      <c r="P19" s="124"/>
      <c r="Q19" s="569"/>
      <c r="R19" s="124"/>
      <c r="S19" s="156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569"/>
    </row>
    <row r="20" spans="1:32">
      <c r="A20" s="221" t="str">
        <f t="array" aca="1" ref="A20" ca="1">HYPERLINK(CELL("адрес",Исходные!A54),"источник")</f>
        <v>источник</v>
      </c>
      <c r="B20" s="173" t="s">
        <v>457</v>
      </c>
      <c r="C20" s="186" t="s">
        <v>861</v>
      </c>
      <c r="D20" s="242">
        <f>SUM(F20:O20)</f>
        <v>0</v>
      </c>
      <c r="E20" s="71"/>
      <c r="F20" s="352">
        <f>Исходные!F54</f>
        <v>0</v>
      </c>
      <c r="G20" s="352">
        <f>Исходные!G54</f>
        <v>0</v>
      </c>
      <c r="H20" s="352">
        <f>Исходные!H54</f>
        <v>0</v>
      </c>
      <c r="I20" s="352">
        <f>Исходные!I54</f>
        <v>0</v>
      </c>
      <c r="J20" s="352">
        <f>Исходные!J54</f>
        <v>0</v>
      </c>
      <c r="K20" s="352">
        <f>Исходные!K54</f>
        <v>0</v>
      </c>
      <c r="L20" s="352">
        <f>Исходные!L54</f>
        <v>0</v>
      </c>
      <c r="M20" s="352">
        <f>Исходные!M54</f>
        <v>0</v>
      </c>
      <c r="N20" s="352">
        <f>Исходные!N54</f>
        <v>0</v>
      </c>
      <c r="O20" s="352">
        <f>Исходные!O54</f>
        <v>0</v>
      </c>
      <c r="P20" s="71"/>
      <c r="Q20" s="133"/>
      <c r="R20" s="71"/>
      <c r="S20" s="156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133"/>
    </row>
    <row r="21" spans="1:32">
      <c r="A21" s="221" t="str">
        <f t="array" aca="1" ref="A21" ca="1">HYPERLINK(CELL("адрес",Макро!A92),"источник")</f>
        <v>источник</v>
      </c>
      <c r="B21" s="173" t="s">
        <v>250</v>
      </c>
      <c r="C21" s="186" t="s">
        <v>186</v>
      </c>
      <c r="D21" s="699" t="s">
        <v>134</v>
      </c>
      <c r="E21" s="71"/>
      <c r="F21" s="136">
        <f>Макро!F92</f>
        <v>45</v>
      </c>
      <c r="G21" s="136">
        <f>Макро!G92</f>
        <v>46.800000000000004</v>
      </c>
      <c r="H21" s="136">
        <f>Макро!H92</f>
        <v>45</v>
      </c>
      <c r="I21" s="136">
        <f>Макро!I92</f>
        <v>46.800000000000004</v>
      </c>
      <c r="J21" s="136">
        <f>Макро!J92</f>
        <v>48.672000000000004</v>
      </c>
      <c r="K21" s="136">
        <f>Макро!K92</f>
        <v>50.618880000000004</v>
      </c>
      <c r="L21" s="136">
        <f>Макро!L92</f>
        <v>52.643635200000006</v>
      </c>
      <c r="M21" s="136">
        <f>Макро!M92</f>
        <v>54.74938060800001</v>
      </c>
      <c r="N21" s="136">
        <f>Макро!N92</f>
        <v>56.939355832320011</v>
      </c>
      <c r="O21" s="136">
        <f>Макро!O92</f>
        <v>59.216930065612814</v>
      </c>
      <c r="P21" s="71"/>
      <c r="Q21" s="133"/>
      <c r="R21" s="71"/>
      <c r="S21" s="156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133"/>
    </row>
    <row r="22" spans="1:32">
      <c r="A22" s="146"/>
      <c r="B22" s="173"/>
      <c r="C22" s="146"/>
      <c r="D22" s="146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156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</row>
    <row r="23" spans="1:32" s="6" customFormat="1" ht="29.25">
      <c r="A23" s="383"/>
      <c r="B23" s="539" t="s">
        <v>455</v>
      </c>
      <c r="C23" s="700" t="s">
        <v>19</v>
      </c>
      <c r="D23" s="242">
        <f>SUM(F23:O23)</f>
        <v>0</v>
      </c>
      <c r="E23" s="124"/>
      <c r="F23" s="576">
        <f t="shared" ref="F23:O23" si="8">F24*F25</f>
        <v>0</v>
      </c>
      <c r="G23" s="576">
        <f t="shared" si="8"/>
        <v>0</v>
      </c>
      <c r="H23" s="576">
        <f t="shared" si="8"/>
        <v>0</v>
      </c>
      <c r="I23" s="576">
        <f t="shared" si="8"/>
        <v>0</v>
      </c>
      <c r="J23" s="576">
        <f t="shared" si="8"/>
        <v>0</v>
      </c>
      <c r="K23" s="576">
        <f t="shared" si="8"/>
        <v>0</v>
      </c>
      <c r="L23" s="576">
        <f t="shared" si="8"/>
        <v>0</v>
      </c>
      <c r="M23" s="576">
        <f t="shared" si="8"/>
        <v>0</v>
      </c>
      <c r="N23" s="576">
        <f t="shared" si="8"/>
        <v>0</v>
      </c>
      <c r="O23" s="576">
        <f t="shared" si="8"/>
        <v>0</v>
      </c>
      <c r="P23" s="124"/>
      <c r="Q23" s="569"/>
      <c r="R23" s="124"/>
      <c r="S23" s="156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569"/>
    </row>
    <row r="24" spans="1:32" ht="30">
      <c r="A24" s="221" t="str">
        <f t="array" aca="1" ref="A24" ca="1">HYPERLINK(CELL("адрес",Исходные!A54),"источник")</f>
        <v>источник</v>
      </c>
      <c r="B24" s="173" t="s">
        <v>453</v>
      </c>
      <c r="C24" s="186" t="s">
        <v>861</v>
      </c>
      <c r="D24" s="242">
        <f>SUM(F24:O24)</f>
        <v>0</v>
      </c>
      <c r="E24" s="71"/>
      <c r="F24" s="352">
        <f>Исходные!F60</f>
        <v>0</v>
      </c>
      <c r="G24" s="352">
        <f>Исходные!G60</f>
        <v>0</v>
      </c>
      <c r="H24" s="352">
        <f>Исходные!H60</f>
        <v>0</v>
      </c>
      <c r="I24" s="352">
        <f>Исходные!I60</f>
        <v>0</v>
      </c>
      <c r="J24" s="352">
        <f>Исходные!J60</f>
        <v>0</v>
      </c>
      <c r="K24" s="352">
        <f>Исходные!K60</f>
        <v>0</v>
      </c>
      <c r="L24" s="352">
        <f>Исходные!L60</f>
        <v>0</v>
      </c>
      <c r="M24" s="352">
        <f>Исходные!M60</f>
        <v>0</v>
      </c>
      <c r="N24" s="352">
        <f>Исходные!N60</f>
        <v>0</v>
      </c>
      <c r="O24" s="352">
        <f>Исходные!O60</f>
        <v>0</v>
      </c>
      <c r="P24" s="71"/>
      <c r="Q24" s="133"/>
      <c r="R24" s="71"/>
      <c r="S24" s="156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133"/>
    </row>
    <row r="25" spans="1:32">
      <c r="A25" s="221" t="str">
        <f t="array" aca="1" ref="A25" ca="1">HYPERLINK(CELL("адрес",Макро!A93),"источник")</f>
        <v>источник</v>
      </c>
      <c r="B25" s="173" t="s">
        <v>250</v>
      </c>
      <c r="C25" s="186" t="s">
        <v>186</v>
      </c>
      <c r="D25" s="699" t="s">
        <v>134</v>
      </c>
      <c r="E25" s="71"/>
      <c r="F25" s="136">
        <f>Макро!F93</f>
        <v>20</v>
      </c>
      <c r="G25" s="136">
        <f>Макро!G93</f>
        <v>20.8</v>
      </c>
      <c r="H25" s="136">
        <f>Макро!H93</f>
        <v>20</v>
      </c>
      <c r="I25" s="136">
        <f>Макро!I93</f>
        <v>20.8</v>
      </c>
      <c r="J25" s="136">
        <f>Макро!J93</f>
        <v>21.632000000000001</v>
      </c>
      <c r="K25" s="136">
        <f>Макро!K93</f>
        <v>22.497280000000003</v>
      </c>
      <c r="L25" s="136">
        <f>Макро!L93</f>
        <v>23.397171200000006</v>
      </c>
      <c r="M25" s="136">
        <f>Макро!M93</f>
        <v>24.333058048000009</v>
      </c>
      <c r="N25" s="136">
        <f>Макро!N93</f>
        <v>25.30638036992001</v>
      </c>
      <c r="O25" s="136">
        <f>Макро!O93</f>
        <v>26.318635584716812</v>
      </c>
      <c r="P25" s="71"/>
      <c r="Q25" s="133"/>
      <c r="R25" s="71"/>
      <c r="S25" s="156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133"/>
    </row>
    <row r="26" spans="1:32">
      <c r="A26" s="146"/>
      <c r="B26" s="173"/>
      <c r="C26" s="146"/>
      <c r="D26" s="146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156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</row>
    <row r="27" spans="1:32" s="6" customFormat="1" ht="29.25">
      <c r="A27" s="383"/>
      <c r="B27" s="539" t="s">
        <v>459</v>
      </c>
      <c r="C27" s="700" t="s">
        <v>19</v>
      </c>
      <c r="D27" s="242">
        <f>SUM(F27:O27)</f>
        <v>0</v>
      </c>
      <c r="E27" s="124"/>
      <c r="F27" s="576">
        <f t="shared" ref="F27:O27" si="9">F28*F29</f>
        <v>0</v>
      </c>
      <c r="G27" s="576">
        <f t="shared" si="9"/>
        <v>0</v>
      </c>
      <c r="H27" s="576">
        <f t="shared" si="9"/>
        <v>0</v>
      </c>
      <c r="I27" s="576">
        <f t="shared" si="9"/>
        <v>0</v>
      </c>
      <c r="J27" s="576">
        <f t="shared" si="9"/>
        <v>0</v>
      </c>
      <c r="K27" s="576">
        <f t="shared" si="9"/>
        <v>0</v>
      </c>
      <c r="L27" s="576">
        <f t="shared" si="9"/>
        <v>0</v>
      </c>
      <c r="M27" s="576">
        <f t="shared" si="9"/>
        <v>0</v>
      </c>
      <c r="N27" s="576">
        <f t="shared" si="9"/>
        <v>0</v>
      </c>
      <c r="O27" s="576">
        <f t="shared" si="9"/>
        <v>0</v>
      </c>
      <c r="P27" s="124"/>
      <c r="Q27" s="569"/>
      <c r="R27" s="124"/>
      <c r="S27" s="156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569"/>
    </row>
    <row r="28" spans="1:32" ht="30">
      <c r="A28" s="221" t="str">
        <f t="array" aca="1" ref="A28" ca="1">HYPERLINK(CELL("адрес",Исходные!A66),"источник")</f>
        <v>источник</v>
      </c>
      <c r="B28" s="173" t="s">
        <v>459</v>
      </c>
      <c r="C28" s="186" t="s">
        <v>861</v>
      </c>
      <c r="D28" s="242">
        <f>SUM(F28:O28)</f>
        <v>0</v>
      </c>
      <c r="E28" s="71"/>
      <c r="F28" s="352">
        <f>Исходные!F66</f>
        <v>0</v>
      </c>
      <c r="G28" s="352">
        <f>Исходные!G66</f>
        <v>0</v>
      </c>
      <c r="H28" s="352">
        <f>Исходные!H66</f>
        <v>0</v>
      </c>
      <c r="I28" s="352">
        <f>Исходные!I66</f>
        <v>0</v>
      </c>
      <c r="J28" s="352">
        <f>Исходные!J66</f>
        <v>0</v>
      </c>
      <c r="K28" s="352">
        <f>Исходные!K66</f>
        <v>0</v>
      </c>
      <c r="L28" s="352">
        <f>Исходные!L66</f>
        <v>0</v>
      </c>
      <c r="M28" s="352">
        <f>Исходные!M66</f>
        <v>0</v>
      </c>
      <c r="N28" s="352">
        <f>Исходные!N66</f>
        <v>0</v>
      </c>
      <c r="O28" s="352">
        <f>Исходные!O66</f>
        <v>0</v>
      </c>
      <c r="P28" s="71"/>
      <c r="Q28" s="133"/>
      <c r="R28" s="71"/>
      <c r="S28" s="156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133"/>
    </row>
    <row r="29" spans="1:32">
      <c r="A29" s="221" t="str">
        <f t="array" aca="1" ref="A29" ca="1">HYPERLINK(CELL("адрес",Макро!A94),"источник")</f>
        <v>источник</v>
      </c>
      <c r="B29" s="173" t="s">
        <v>250</v>
      </c>
      <c r="C29" s="186" t="s">
        <v>186</v>
      </c>
      <c r="D29" s="699" t="s">
        <v>134</v>
      </c>
      <c r="E29" s="71"/>
      <c r="F29" s="136">
        <f>Макро!F94</f>
        <v>0</v>
      </c>
      <c r="G29" s="136">
        <f>Макро!G94</f>
        <v>0</v>
      </c>
      <c r="H29" s="136">
        <f>Макро!H94</f>
        <v>0</v>
      </c>
      <c r="I29" s="136">
        <f>Макро!I94</f>
        <v>0</v>
      </c>
      <c r="J29" s="136">
        <f>Макро!J94</f>
        <v>0</v>
      </c>
      <c r="K29" s="136">
        <f>Макро!K94</f>
        <v>0</v>
      </c>
      <c r="L29" s="136">
        <f>Макро!L94</f>
        <v>0</v>
      </c>
      <c r="M29" s="136">
        <f>Макро!M94</f>
        <v>0</v>
      </c>
      <c r="N29" s="136">
        <f>Макро!N94</f>
        <v>0</v>
      </c>
      <c r="O29" s="136">
        <f>Макро!O94</f>
        <v>0</v>
      </c>
      <c r="P29" s="71"/>
      <c r="Q29" s="133"/>
      <c r="R29" s="71"/>
      <c r="S29" s="156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133"/>
    </row>
    <row r="30" spans="1:32">
      <c r="A30" s="146"/>
      <c r="B30" s="173"/>
      <c r="C30" s="146"/>
      <c r="D30" s="146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156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1:32" s="6" customFormat="1">
      <c r="A31" s="383"/>
      <c r="B31" s="539" t="s">
        <v>249</v>
      </c>
      <c r="C31" s="700" t="s">
        <v>19</v>
      </c>
      <c r="D31" s="242">
        <f>SUM(F31:O31)</f>
        <v>0</v>
      </c>
      <c r="E31" s="124"/>
      <c r="F31" s="576">
        <f t="shared" ref="F31:O31" si="10">F32*F33</f>
        <v>0</v>
      </c>
      <c r="G31" s="576">
        <f t="shared" si="10"/>
        <v>0</v>
      </c>
      <c r="H31" s="576">
        <f t="shared" si="10"/>
        <v>0</v>
      </c>
      <c r="I31" s="576">
        <f t="shared" si="10"/>
        <v>0</v>
      </c>
      <c r="J31" s="576">
        <f t="shared" si="10"/>
        <v>0</v>
      </c>
      <c r="K31" s="576">
        <f t="shared" si="10"/>
        <v>0</v>
      </c>
      <c r="L31" s="576">
        <f t="shared" si="10"/>
        <v>0</v>
      </c>
      <c r="M31" s="576">
        <f t="shared" si="10"/>
        <v>0</v>
      </c>
      <c r="N31" s="576">
        <f t="shared" si="10"/>
        <v>0</v>
      </c>
      <c r="O31" s="576">
        <f t="shared" si="10"/>
        <v>0</v>
      </c>
      <c r="P31" s="124"/>
      <c r="Q31" s="569"/>
      <c r="R31" s="124"/>
      <c r="S31" s="156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569"/>
    </row>
    <row r="32" spans="1:32">
      <c r="A32" s="221" t="str">
        <f t="array" aca="1" ref="A32" ca="1">HYPERLINK(CELL("адрес",Исходные!A72),"источник")</f>
        <v>источник</v>
      </c>
      <c r="B32" s="173" t="s">
        <v>249</v>
      </c>
      <c r="C32" s="186" t="s">
        <v>861</v>
      </c>
      <c r="D32" s="242">
        <f>SUM(F32:O32)</f>
        <v>0</v>
      </c>
      <c r="E32" s="71"/>
      <c r="F32" s="352">
        <f>Исходные!F72</f>
        <v>0</v>
      </c>
      <c r="G32" s="352">
        <f>Исходные!G72</f>
        <v>0</v>
      </c>
      <c r="H32" s="352">
        <f>Исходные!H72</f>
        <v>0</v>
      </c>
      <c r="I32" s="352">
        <f>Исходные!I72</f>
        <v>0</v>
      </c>
      <c r="J32" s="352">
        <f>Исходные!J72</f>
        <v>0</v>
      </c>
      <c r="K32" s="352">
        <f>Исходные!K72</f>
        <v>0</v>
      </c>
      <c r="L32" s="352">
        <f>Исходные!L72</f>
        <v>0</v>
      </c>
      <c r="M32" s="352">
        <f>Исходные!M72</f>
        <v>0</v>
      </c>
      <c r="N32" s="352">
        <f>Исходные!N72</f>
        <v>0</v>
      </c>
      <c r="O32" s="352">
        <f>Исходные!O72</f>
        <v>0</v>
      </c>
      <c r="P32" s="71"/>
      <c r="Q32" s="133"/>
      <c r="R32" s="71"/>
      <c r="S32" s="156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133"/>
    </row>
    <row r="33" spans="1:32">
      <c r="A33" s="221" t="str">
        <f t="array" aca="1" ref="A33" ca="1">HYPERLINK(CELL("адрес",Макро!A95),"источник")</f>
        <v>источник</v>
      </c>
      <c r="B33" s="173" t="s">
        <v>250</v>
      </c>
      <c r="C33" s="186" t="s">
        <v>186</v>
      </c>
      <c r="D33" s="699" t="s">
        <v>134</v>
      </c>
      <c r="E33" s="71"/>
      <c r="F33" s="136">
        <f>Макро!F95</f>
        <v>5</v>
      </c>
      <c r="G33" s="136">
        <f>Макро!G95</f>
        <v>5.2</v>
      </c>
      <c r="H33" s="136">
        <f>Макро!H95</f>
        <v>5</v>
      </c>
      <c r="I33" s="136">
        <f>Макро!I95</f>
        <v>5.2</v>
      </c>
      <c r="J33" s="136">
        <f>Макро!J95</f>
        <v>5.4080000000000004</v>
      </c>
      <c r="K33" s="136">
        <f>Макро!K95</f>
        <v>5.6243200000000009</v>
      </c>
      <c r="L33" s="136">
        <f>Макро!L95</f>
        <v>5.8492928000000015</v>
      </c>
      <c r="M33" s="136">
        <f>Макро!M95</f>
        <v>6.0832645120000022</v>
      </c>
      <c r="N33" s="136">
        <f>Макро!N95</f>
        <v>6.3265950924800025</v>
      </c>
      <c r="O33" s="136">
        <f>Макро!O95</f>
        <v>6.5796588961792031</v>
      </c>
      <c r="P33" s="71"/>
      <c r="Q33" s="133"/>
      <c r="R33" s="71"/>
      <c r="S33" s="156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133"/>
    </row>
    <row r="34" spans="1:32">
      <c r="A34" s="146"/>
      <c r="B34" s="173"/>
      <c r="C34" s="146"/>
      <c r="D34" s="146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156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</row>
    <row r="35" spans="1:32" s="6" customFormat="1">
      <c r="A35" s="383"/>
      <c r="B35" s="539" t="s">
        <v>187</v>
      </c>
      <c r="C35" s="700" t="s">
        <v>19</v>
      </c>
      <c r="D35" s="242">
        <f>SUM(F35:O35)</f>
        <v>0</v>
      </c>
      <c r="E35" s="124"/>
      <c r="F35" s="576">
        <f t="shared" ref="F35:O35" si="11">F36*F37</f>
        <v>0</v>
      </c>
      <c r="G35" s="576">
        <f t="shared" si="11"/>
        <v>0</v>
      </c>
      <c r="H35" s="576">
        <f t="shared" si="11"/>
        <v>0</v>
      </c>
      <c r="I35" s="576">
        <f t="shared" si="11"/>
        <v>0</v>
      </c>
      <c r="J35" s="576">
        <f t="shared" si="11"/>
        <v>0</v>
      </c>
      <c r="K35" s="576">
        <f t="shared" si="11"/>
        <v>0</v>
      </c>
      <c r="L35" s="576">
        <f t="shared" si="11"/>
        <v>0</v>
      </c>
      <c r="M35" s="576">
        <f t="shared" si="11"/>
        <v>0</v>
      </c>
      <c r="N35" s="576">
        <f t="shared" si="11"/>
        <v>0</v>
      </c>
      <c r="O35" s="576">
        <f t="shared" si="11"/>
        <v>0</v>
      </c>
      <c r="P35" s="124"/>
      <c r="Q35" s="569"/>
      <c r="R35" s="124"/>
      <c r="S35" s="156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569"/>
    </row>
    <row r="36" spans="1:32">
      <c r="A36" s="221" t="str">
        <f t="array" aca="1" ref="A36" ca="1">HYPERLINK(CELL("адрес",Исходные!A78),"источник")</f>
        <v>источник</v>
      </c>
      <c r="B36" s="173" t="s">
        <v>187</v>
      </c>
      <c r="C36" s="186" t="s">
        <v>865</v>
      </c>
      <c r="D36" s="242">
        <f>SUM(F36:O36)</f>
        <v>0</v>
      </c>
      <c r="E36" s="71"/>
      <c r="F36" s="352">
        <f>Исходные!F78</f>
        <v>0</v>
      </c>
      <c r="G36" s="352">
        <f>Исходные!G78</f>
        <v>0</v>
      </c>
      <c r="H36" s="352">
        <f>Исходные!H78</f>
        <v>0</v>
      </c>
      <c r="I36" s="352">
        <f>Исходные!I78</f>
        <v>0</v>
      </c>
      <c r="J36" s="352">
        <f>Исходные!J78</f>
        <v>0</v>
      </c>
      <c r="K36" s="352">
        <f>Исходные!K78</f>
        <v>0</v>
      </c>
      <c r="L36" s="352">
        <f>Исходные!L78</f>
        <v>0</v>
      </c>
      <c r="M36" s="352">
        <f>Исходные!M78</f>
        <v>0</v>
      </c>
      <c r="N36" s="352">
        <f>Исходные!N78</f>
        <v>0</v>
      </c>
      <c r="O36" s="352">
        <f>Исходные!O78</f>
        <v>0</v>
      </c>
      <c r="P36" s="71"/>
      <c r="Q36" s="133"/>
      <c r="R36" s="71"/>
      <c r="S36" s="156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133"/>
    </row>
    <row r="37" spans="1:32">
      <c r="A37" s="221" t="str">
        <f t="array" aca="1" ref="A37" ca="1">HYPERLINK(CELL("адрес",Макро!A97),"источник")</f>
        <v>источник</v>
      </c>
      <c r="B37" s="173" t="s">
        <v>250</v>
      </c>
      <c r="C37" s="186" t="s">
        <v>864</v>
      </c>
      <c r="D37" s="699" t="s">
        <v>134</v>
      </c>
      <c r="E37" s="71"/>
      <c r="F37" s="352">
        <f>Макро!F97</f>
        <v>2140</v>
      </c>
      <c r="G37" s="352">
        <f>Макро!G97</f>
        <v>2193.5</v>
      </c>
      <c r="H37" s="352">
        <f>Макро!H97</f>
        <v>2140</v>
      </c>
      <c r="I37" s="352">
        <f>Макро!I97</f>
        <v>2193.5</v>
      </c>
      <c r="J37" s="352">
        <f>Макро!J97</f>
        <v>2248.3374999999996</v>
      </c>
      <c r="K37" s="352">
        <f>Макро!K97</f>
        <v>2282.0625624999993</v>
      </c>
      <c r="L37" s="352">
        <f>Макро!L97</f>
        <v>2316.2935009374992</v>
      </c>
      <c r="M37" s="352">
        <f>Макро!M97</f>
        <v>2351.0379034515613</v>
      </c>
      <c r="N37" s="352">
        <f>Макро!N97</f>
        <v>2386.3034720033347</v>
      </c>
      <c r="O37" s="352">
        <f>Макро!O97</f>
        <v>2422.0980240833846</v>
      </c>
      <c r="P37" s="71"/>
      <c r="Q37" s="133"/>
      <c r="R37" s="71"/>
      <c r="S37" s="156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133"/>
    </row>
    <row r="38" spans="1:32">
      <c r="A38" s="146"/>
      <c r="B38" s="173"/>
      <c r="C38" s="146"/>
      <c r="D38" s="146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156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</row>
    <row r="39" spans="1:32">
      <c r="A39" s="236"/>
      <c r="B39" s="173"/>
      <c r="C39" s="186"/>
      <c r="D39" s="146"/>
      <c r="E39" s="71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71"/>
      <c r="Q39" s="133"/>
      <c r="R39" s="71"/>
      <c r="S39" s="156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133"/>
    </row>
    <row r="40" spans="1:32" s="6" customFormat="1">
      <c r="A40" s="383"/>
      <c r="B40" s="539" t="s">
        <v>188</v>
      </c>
      <c r="C40" s="700" t="s">
        <v>19</v>
      </c>
      <c r="D40" s="242">
        <f>SUM(F40:O40)</f>
        <v>0</v>
      </c>
      <c r="E40" s="124"/>
      <c r="F40" s="576">
        <f t="shared" ref="F40:O40" si="12">F41*F42</f>
        <v>0</v>
      </c>
      <c r="G40" s="576">
        <f t="shared" si="12"/>
        <v>0</v>
      </c>
      <c r="H40" s="576">
        <f t="shared" si="12"/>
        <v>0</v>
      </c>
      <c r="I40" s="576">
        <f t="shared" si="12"/>
        <v>0</v>
      </c>
      <c r="J40" s="576">
        <f t="shared" si="12"/>
        <v>0</v>
      </c>
      <c r="K40" s="576">
        <f t="shared" si="12"/>
        <v>0</v>
      </c>
      <c r="L40" s="576">
        <f t="shared" si="12"/>
        <v>0</v>
      </c>
      <c r="M40" s="576">
        <f t="shared" si="12"/>
        <v>0</v>
      </c>
      <c r="N40" s="576">
        <f t="shared" si="12"/>
        <v>0</v>
      </c>
      <c r="O40" s="576">
        <f t="shared" si="12"/>
        <v>0</v>
      </c>
      <c r="P40" s="124"/>
      <c r="Q40" s="569"/>
      <c r="R40" s="124"/>
      <c r="S40" s="156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569"/>
    </row>
    <row r="41" spans="1:32">
      <c r="A41" s="221" t="str">
        <f t="array" aca="1" ref="A41" ca="1">HYPERLINK(CELL("адрес",Исходные!A84),"источник")</f>
        <v>источник</v>
      </c>
      <c r="B41" s="173" t="s">
        <v>188</v>
      </c>
      <c r="C41" s="186" t="s">
        <v>861</v>
      </c>
      <c r="D41" s="242">
        <f>SUM(F41:O41)</f>
        <v>0</v>
      </c>
      <c r="E41" s="71"/>
      <c r="F41" s="352">
        <f>Исходные!F84</f>
        <v>0</v>
      </c>
      <c r="G41" s="352">
        <f>Исходные!G84</f>
        <v>0</v>
      </c>
      <c r="H41" s="352">
        <f>Исходные!H84</f>
        <v>0</v>
      </c>
      <c r="I41" s="352">
        <f>Исходные!I84</f>
        <v>0</v>
      </c>
      <c r="J41" s="352">
        <f>Исходные!J84</f>
        <v>0</v>
      </c>
      <c r="K41" s="352">
        <f>Исходные!K84</f>
        <v>0</v>
      </c>
      <c r="L41" s="352">
        <f>Исходные!L84</f>
        <v>0</v>
      </c>
      <c r="M41" s="352">
        <f>Исходные!M84</f>
        <v>0</v>
      </c>
      <c r="N41" s="352">
        <f>Исходные!N84</f>
        <v>0</v>
      </c>
      <c r="O41" s="352">
        <f>Исходные!O84</f>
        <v>0</v>
      </c>
      <c r="P41" s="71"/>
      <c r="Q41" s="133"/>
      <c r="R41" s="71"/>
      <c r="S41" s="156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133"/>
    </row>
    <row r="42" spans="1:32">
      <c r="A42" s="221" t="str">
        <f t="array" aca="1" ref="A42" ca="1">HYPERLINK(CELL("адрес",Макро!A99),"источник")</f>
        <v>источник</v>
      </c>
      <c r="B42" s="173" t="s">
        <v>250</v>
      </c>
      <c r="C42" s="186" t="s">
        <v>186</v>
      </c>
      <c r="D42" s="699" t="s">
        <v>134</v>
      </c>
      <c r="E42" s="71"/>
      <c r="F42" s="136">
        <f>Макро!F99</f>
        <v>6.4</v>
      </c>
      <c r="G42" s="136">
        <f>Макро!G99</f>
        <v>6.56</v>
      </c>
      <c r="H42" s="136">
        <f>Макро!H99</f>
        <v>6.4</v>
      </c>
      <c r="I42" s="136">
        <f>Макро!I99</f>
        <v>6.56</v>
      </c>
      <c r="J42" s="136">
        <f>Макро!J99</f>
        <v>6.7239999999999993</v>
      </c>
      <c r="K42" s="136">
        <f>Макро!K99</f>
        <v>6.8248599999999984</v>
      </c>
      <c r="L42" s="136">
        <f>Макро!L99</f>
        <v>6.9272328999999973</v>
      </c>
      <c r="M42" s="136">
        <f>Макро!M99</f>
        <v>7.0311413934999969</v>
      </c>
      <c r="N42" s="136">
        <f>Макро!N99</f>
        <v>7.1366085144024964</v>
      </c>
      <c r="O42" s="136">
        <f>Макро!O99</f>
        <v>7.2436576421185332</v>
      </c>
      <c r="P42" s="71"/>
      <c r="Q42" s="133"/>
      <c r="R42" s="71"/>
      <c r="S42" s="156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33"/>
    </row>
    <row r="43" spans="1:32">
      <c r="A43" s="146"/>
      <c r="B43" s="173"/>
      <c r="C43" s="146"/>
      <c r="D43" s="146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156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</row>
    <row r="44" spans="1:32">
      <c r="A44" s="696"/>
      <c r="B44" s="528"/>
      <c r="C44" s="71"/>
      <c r="D44" s="522"/>
      <c r="E44" s="71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71"/>
      <c r="Q44" s="133"/>
      <c r="R44" s="71"/>
      <c r="S44" s="156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33"/>
    </row>
    <row r="45" spans="1:32">
      <c r="A45" s="581"/>
      <c r="B45" s="177"/>
      <c r="C45" s="71"/>
      <c r="D45" s="133"/>
      <c r="E45" s="71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71"/>
      <c r="Q45" s="133"/>
      <c r="R45" s="71"/>
      <c r="S45" s="156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133"/>
    </row>
    <row r="46" spans="1:32">
      <c r="A46" s="581"/>
      <c r="B46" s="177"/>
      <c r="C46" s="71"/>
      <c r="D46" s="133"/>
      <c r="E46" s="71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71"/>
      <c r="Q46" s="133"/>
      <c r="R46" s="71"/>
      <c r="S46" s="156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133"/>
    </row>
    <row r="47" spans="1:32">
      <c r="A47" s="581"/>
      <c r="B47" s="177"/>
      <c r="C47" s="71"/>
      <c r="D47" s="133"/>
      <c r="E47" s="71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71"/>
      <c r="Q47" s="133"/>
      <c r="R47" s="71"/>
      <c r="S47" s="156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133"/>
    </row>
    <row r="48" spans="1:32" ht="15.75" thickBot="1">
      <c r="A48" s="132"/>
      <c r="B48" s="174"/>
      <c r="C48" s="187"/>
      <c r="D48" s="132"/>
      <c r="E48" s="71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71"/>
      <c r="Q48" s="132"/>
      <c r="R48" s="71"/>
      <c r="S48" s="156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133"/>
    </row>
    <row r="49" spans="1:32">
      <c r="A49" s="133"/>
      <c r="B49" s="177"/>
      <c r="C49" s="584"/>
      <c r="D49" s="133"/>
      <c r="E49" s="71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71"/>
      <c r="Q49" s="133"/>
      <c r="R49" s="71"/>
      <c r="S49" s="156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33"/>
    </row>
    <row r="50" spans="1:32">
      <c r="A50" s="133"/>
      <c r="B50" s="177" t="s">
        <v>598</v>
      </c>
      <c r="C50" s="416" t="s">
        <v>311</v>
      </c>
      <c r="D50" s="579">
        <f t="shared" ref="D50:D57" si="13">SUM(F50:O50)</f>
        <v>0</v>
      </c>
      <c r="E50" s="71"/>
      <c r="F50" s="579">
        <f t="shared" ref="F50:O50" si="14">SUM(F51:F57)</f>
        <v>0</v>
      </c>
      <c r="G50" s="579">
        <f t="shared" si="14"/>
        <v>0</v>
      </c>
      <c r="H50" s="579">
        <f t="shared" si="14"/>
        <v>0</v>
      </c>
      <c r="I50" s="579">
        <f t="shared" si="14"/>
        <v>0</v>
      </c>
      <c r="J50" s="579">
        <f t="shared" si="14"/>
        <v>0</v>
      </c>
      <c r="K50" s="579">
        <f t="shared" si="14"/>
        <v>0</v>
      </c>
      <c r="L50" s="579">
        <f t="shared" si="14"/>
        <v>0</v>
      </c>
      <c r="M50" s="579">
        <f t="shared" si="14"/>
        <v>0</v>
      </c>
      <c r="N50" s="579">
        <f t="shared" si="14"/>
        <v>0</v>
      </c>
      <c r="O50" s="579">
        <f t="shared" si="14"/>
        <v>0</v>
      </c>
      <c r="P50" s="71"/>
      <c r="Q50" s="133"/>
      <c r="R50" s="71"/>
      <c r="S50" s="156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33"/>
    </row>
    <row r="51" spans="1:32" ht="29.25">
      <c r="A51" s="133"/>
      <c r="B51" s="582" t="s">
        <v>441</v>
      </c>
      <c r="C51" s="416" t="s">
        <v>311</v>
      </c>
      <c r="D51" s="580">
        <f t="shared" si="13"/>
        <v>0</v>
      </c>
      <c r="E51" s="71"/>
      <c r="F51" s="580">
        <f t="shared" ref="F51:O51" si="15">ROUND(F11/1000,2)</f>
        <v>0</v>
      </c>
      <c r="G51" s="580">
        <f t="shared" si="15"/>
        <v>0</v>
      </c>
      <c r="H51" s="580">
        <f t="shared" si="15"/>
        <v>0</v>
      </c>
      <c r="I51" s="580">
        <f t="shared" si="15"/>
        <v>0</v>
      </c>
      <c r="J51" s="580">
        <f t="shared" si="15"/>
        <v>0</v>
      </c>
      <c r="K51" s="580">
        <f t="shared" si="15"/>
        <v>0</v>
      </c>
      <c r="L51" s="580">
        <f t="shared" si="15"/>
        <v>0</v>
      </c>
      <c r="M51" s="580">
        <f t="shared" si="15"/>
        <v>0</v>
      </c>
      <c r="N51" s="580">
        <f t="shared" si="15"/>
        <v>0</v>
      </c>
      <c r="O51" s="580">
        <f t="shared" si="15"/>
        <v>0</v>
      </c>
      <c r="P51" s="71"/>
      <c r="Q51" s="133"/>
      <c r="R51" s="71"/>
      <c r="S51" s="156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33"/>
    </row>
    <row r="52" spans="1:32">
      <c r="A52" s="133"/>
      <c r="B52" s="583" t="s">
        <v>452</v>
      </c>
      <c r="C52" s="416" t="s">
        <v>311</v>
      </c>
      <c r="D52" s="580">
        <f t="shared" si="13"/>
        <v>0</v>
      </c>
      <c r="E52" s="71"/>
      <c r="F52" s="580">
        <f t="shared" ref="F52:O52" si="16">ROUND(F15/1000,2)</f>
        <v>0</v>
      </c>
      <c r="G52" s="580">
        <f t="shared" si="16"/>
        <v>0</v>
      </c>
      <c r="H52" s="580">
        <f t="shared" si="16"/>
        <v>0</v>
      </c>
      <c r="I52" s="580">
        <f t="shared" si="16"/>
        <v>0</v>
      </c>
      <c r="J52" s="580">
        <f t="shared" si="16"/>
        <v>0</v>
      </c>
      <c r="K52" s="580">
        <f t="shared" si="16"/>
        <v>0</v>
      </c>
      <c r="L52" s="580">
        <f t="shared" si="16"/>
        <v>0</v>
      </c>
      <c r="M52" s="580">
        <f t="shared" si="16"/>
        <v>0</v>
      </c>
      <c r="N52" s="580">
        <f t="shared" si="16"/>
        <v>0</v>
      </c>
      <c r="O52" s="580">
        <f t="shared" si="16"/>
        <v>0</v>
      </c>
      <c r="P52" s="71"/>
      <c r="Q52" s="133"/>
      <c r="R52" s="71"/>
      <c r="S52" s="156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33"/>
    </row>
    <row r="53" spans="1:32">
      <c r="A53" s="133"/>
      <c r="B53" s="583" t="s">
        <v>458</v>
      </c>
      <c r="C53" s="416" t="s">
        <v>311</v>
      </c>
      <c r="D53" s="580">
        <f t="shared" si="13"/>
        <v>0</v>
      </c>
      <c r="E53" s="71"/>
      <c r="F53" s="580">
        <f t="shared" ref="F53:O53" si="17">ROUND(F19/1000,2)</f>
        <v>0</v>
      </c>
      <c r="G53" s="580">
        <f t="shared" si="17"/>
        <v>0</v>
      </c>
      <c r="H53" s="580">
        <f t="shared" si="17"/>
        <v>0</v>
      </c>
      <c r="I53" s="580">
        <f t="shared" si="17"/>
        <v>0</v>
      </c>
      <c r="J53" s="580">
        <f t="shared" si="17"/>
        <v>0</v>
      </c>
      <c r="K53" s="580">
        <f t="shared" si="17"/>
        <v>0</v>
      </c>
      <c r="L53" s="580">
        <f t="shared" si="17"/>
        <v>0</v>
      </c>
      <c r="M53" s="580">
        <f t="shared" si="17"/>
        <v>0</v>
      </c>
      <c r="N53" s="580">
        <f t="shared" si="17"/>
        <v>0</v>
      </c>
      <c r="O53" s="580">
        <f t="shared" si="17"/>
        <v>0</v>
      </c>
      <c r="P53" s="71"/>
      <c r="Q53" s="133"/>
      <c r="R53" s="71"/>
      <c r="S53" s="156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133"/>
    </row>
    <row r="54" spans="1:32" ht="29.25">
      <c r="A54" s="133"/>
      <c r="B54" s="583" t="s">
        <v>455</v>
      </c>
      <c r="C54" s="416" t="s">
        <v>311</v>
      </c>
      <c r="D54" s="580">
        <f t="shared" si="13"/>
        <v>0</v>
      </c>
      <c r="E54" s="71"/>
      <c r="F54" s="580">
        <f t="shared" ref="F54:O54" si="18">ROUND(F23/1000,2)</f>
        <v>0</v>
      </c>
      <c r="G54" s="580">
        <f t="shared" si="18"/>
        <v>0</v>
      </c>
      <c r="H54" s="580">
        <f t="shared" si="18"/>
        <v>0</v>
      </c>
      <c r="I54" s="580">
        <f t="shared" si="18"/>
        <v>0</v>
      </c>
      <c r="J54" s="580">
        <f t="shared" si="18"/>
        <v>0</v>
      </c>
      <c r="K54" s="580">
        <f t="shared" si="18"/>
        <v>0</v>
      </c>
      <c r="L54" s="580">
        <f t="shared" si="18"/>
        <v>0</v>
      </c>
      <c r="M54" s="580">
        <f t="shared" si="18"/>
        <v>0</v>
      </c>
      <c r="N54" s="580">
        <f t="shared" si="18"/>
        <v>0</v>
      </c>
      <c r="O54" s="580">
        <f t="shared" si="18"/>
        <v>0</v>
      </c>
      <c r="P54" s="71"/>
      <c r="Q54" s="133"/>
      <c r="R54" s="71"/>
      <c r="S54" s="156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33"/>
    </row>
    <row r="55" spans="1:32" ht="29.25">
      <c r="A55" s="133"/>
      <c r="B55" s="583" t="s">
        <v>459</v>
      </c>
      <c r="C55" s="416" t="s">
        <v>311</v>
      </c>
      <c r="D55" s="580">
        <f t="shared" si="13"/>
        <v>0</v>
      </c>
      <c r="E55" s="71"/>
      <c r="F55" s="580">
        <f t="shared" ref="F55:O55" si="19">ROUND(F27/1000,2)</f>
        <v>0</v>
      </c>
      <c r="G55" s="580">
        <f t="shared" si="19"/>
        <v>0</v>
      </c>
      <c r="H55" s="580">
        <f t="shared" si="19"/>
        <v>0</v>
      </c>
      <c r="I55" s="580">
        <f t="shared" si="19"/>
        <v>0</v>
      </c>
      <c r="J55" s="580">
        <f t="shared" si="19"/>
        <v>0</v>
      </c>
      <c r="K55" s="580">
        <f t="shared" si="19"/>
        <v>0</v>
      </c>
      <c r="L55" s="580">
        <f t="shared" si="19"/>
        <v>0</v>
      </c>
      <c r="M55" s="580">
        <f t="shared" si="19"/>
        <v>0</v>
      </c>
      <c r="N55" s="580">
        <f t="shared" si="19"/>
        <v>0</v>
      </c>
      <c r="O55" s="580">
        <f t="shared" si="19"/>
        <v>0</v>
      </c>
      <c r="P55" s="71"/>
      <c r="Q55" s="133"/>
      <c r="R55" s="71"/>
      <c r="S55" s="156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33"/>
    </row>
    <row r="56" spans="1:32">
      <c r="A56" s="133"/>
      <c r="B56" s="583" t="s">
        <v>249</v>
      </c>
      <c r="C56" s="416" t="s">
        <v>311</v>
      </c>
      <c r="D56" s="580">
        <f t="shared" si="13"/>
        <v>0</v>
      </c>
      <c r="E56" s="71"/>
      <c r="F56" s="580">
        <f t="shared" ref="F56:O56" si="20">ROUND(F31/1000,2)</f>
        <v>0</v>
      </c>
      <c r="G56" s="580">
        <f t="shared" si="20"/>
        <v>0</v>
      </c>
      <c r="H56" s="580">
        <f t="shared" si="20"/>
        <v>0</v>
      </c>
      <c r="I56" s="580">
        <f t="shared" si="20"/>
        <v>0</v>
      </c>
      <c r="J56" s="580">
        <f t="shared" si="20"/>
        <v>0</v>
      </c>
      <c r="K56" s="580">
        <f t="shared" si="20"/>
        <v>0</v>
      </c>
      <c r="L56" s="580">
        <f t="shared" si="20"/>
        <v>0</v>
      </c>
      <c r="M56" s="580">
        <f t="shared" si="20"/>
        <v>0</v>
      </c>
      <c r="N56" s="580">
        <f t="shared" si="20"/>
        <v>0</v>
      </c>
      <c r="O56" s="580">
        <f t="shared" si="20"/>
        <v>0</v>
      </c>
      <c r="P56" s="71"/>
      <c r="Q56" s="133"/>
      <c r="R56" s="71"/>
      <c r="S56" s="156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33"/>
    </row>
    <row r="57" spans="1:32">
      <c r="A57" s="133"/>
      <c r="B57" s="583" t="s">
        <v>187</v>
      </c>
      <c r="C57" s="416" t="s">
        <v>311</v>
      </c>
      <c r="D57" s="580">
        <f t="shared" si="13"/>
        <v>0</v>
      </c>
      <c r="E57" s="71"/>
      <c r="F57" s="580">
        <f t="shared" ref="F57:O57" si="21">ROUND(F35/1000,2)</f>
        <v>0</v>
      </c>
      <c r="G57" s="580">
        <f t="shared" si="21"/>
        <v>0</v>
      </c>
      <c r="H57" s="580">
        <f t="shared" si="21"/>
        <v>0</v>
      </c>
      <c r="I57" s="580">
        <f t="shared" si="21"/>
        <v>0</v>
      </c>
      <c r="J57" s="580">
        <f t="shared" si="21"/>
        <v>0</v>
      </c>
      <c r="K57" s="580">
        <f t="shared" si="21"/>
        <v>0</v>
      </c>
      <c r="L57" s="580">
        <f t="shared" si="21"/>
        <v>0</v>
      </c>
      <c r="M57" s="580">
        <f t="shared" si="21"/>
        <v>0</v>
      </c>
      <c r="N57" s="580">
        <f t="shared" si="21"/>
        <v>0</v>
      </c>
      <c r="O57" s="580">
        <f t="shared" si="21"/>
        <v>0</v>
      </c>
      <c r="P57" s="71"/>
      <c r="Q57" s="133"/>
      <c r="R57" s="71"/>
      <c r="S57" s="156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33"/>
    </row>
    <row r="58" spans="1:32">
      <c r="A58" s="133"/>
      <c r="B58" s="177"/>
      <c r="C58" s="584"/>
      <c r="D58" s="133"/>
      <c r="E58" s="71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71"/>
      <c r="Q58" s="133"/>
      <c r="R58" s="71"/>
      <c r="S58" s="156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33"/>
    </row>
    <row r="59" spans="1:32" ht="15.75" thickBot="1">
      <c r="A59" s="132"/>
      <c r="B59" s="174"/>
      <c r="C59" s="187"/>
      <c r="D59" s="132"/>
      <c r="E59" s="71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71"/>
      <c r="Q59" s="132"/>
      <c r="R59" s="71"/>
      <c r="S59" s="156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132"/>
    </row>
    <row r="61" spans="1:32">
      <c r="B61" s="574"/>
    </row>
    <row r="63" spans="1:32">
      <c r="B63" s="169" t="str">
        <f t="array" aca="1" ref="B63" ca="1">HYPERLINK(CELL("адрес",БДР!$A$1),"Перейти на лист БДР")</f>
        <v>Перейти на лист БДР</v>
      </c>
    </row>
    <row r="64" spans="1:32">
      <c r="B64" s="169" t="str">
        <f t="array" aca="1" ref="B64" ca="1">HYPERLINK(CELL("адрес",БДДС!$A$1),"Перейти на лист БДДС")</f>
        <v>Перейти на лист БДДС</v>
      </c>
    </row>
    <row r="65" spans="2:2">
      <c r="B65" s="169" t="str">
        <f t="array" aca="1" ref="B65" ca="1">HYPERLINK(CELL("адрес",Баланс!$A$1),"Перейти на лист Баланс")</f>
        <v>Перейти на лист Баланс</v>
      </c>
    </row>
    <row r="66" spans="2:2">
      <c r="B66" s="169" t="str">
        <f t="array" aca="1" ref="B66" ca="1">HYPERLINK(CELL("адрес",Дашборд_ИтогТабл!$A$1),"Перейти на лист Дашборд_1")</f>
        <v>Перейти на лист Дашборд_1</v>
      </c>
    </row>
    <row r="67" spans="2:2" ht="30">
      <c r="B67" s="169" t="str">
        <f t="array" aca="1" ref="B67" ca="1">HYPERLINK(CELL("адрес",Дашборд_Основной!$A$1),"Перейти на лист Дашборд_Общий")</f>
        <v>Перейти на лист Дашборд_Общий</v>
      </c>
    </row>
    <row r="68" spans="2:2" ht="30">
      <c r="B68" s="169" t="str">
        <f t="array" aca="1" ref="B68" ca="1">HYPERLINK(CELL("адрес",Дашборд_налоги!$A$1),"Перейти на лист Дашборд_Налоги")</f>
        <v>Перейти на лист Дашборд_Налоги</v>
      </c>
    </row>
  </sheetData>
  <hyperlinks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63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9" tint="0.59999389629810485"/>
    <outlinePr summaryRight="0"/>
    <pageSetUpPr fitToPage="1"/>
  </sheetPr>
  <dimension ref="A1:AS32"/>
  <sheetViews>
    <sheetView zoomScaleNormal="100" workbookViewId="0">
      <pane xSplit="4" ySplit="4" topLeftCell="E5" activePane="bottomRight" state="frozen"/>
      <selection pane="topRight"/>
      <selection pane="bottomLeft"/>
      <selection pane="bottomRight" activeCell="H11" sqref="H11"/>
    </sheetView>
  </sheetViews>
  <sheetFormatPr defaultRowHeight="15" outlineLevelCol="1"/>
  <cols>
    <col min="1" max="1" width="11.5703125" customWidth="1"/>
    <col min="2" max="2" width="27.7109375" customWidth="1"/>
    <col min="3" max="3" width="11" style="5" customWidth="1"/>
    <col min="4" max="4" width="11" customWidth="1"/>
    <col min="5" max="5" width="2.28515625" customWidth="1"/>
    <col min="16" max="16" width="2.14062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45" ht="25.5">
      <c r="A1" s="651" t="s">
        <v>99</v>
      </c>
      <c r="B1" s="71"/>
      <c r="C1" s="184"/>
      <c r="D1" s="71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155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45">
      <c r="A2" s="71" t="str">
        <f>Паспорт_ФМ_резидент!B7</f>
        <v>Разработка, производство, модернизация и реализация …</v>
      </c>
      <c r="B2" s="71"/>
      <c r="C2" s="184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59"/>
      <c r="Q2" s="156"/>
      <c r="R2" s="159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45" s="18" customFormat="1" ht="28.5">
      <c r="A3" s="78" t="s">
        <v>2</v>
      </c>
      <c r="B3" s="78" t="s">
        <v>3</v>
      </c>
      <c r="C3" s="127" t="s">
        <v>12</v>
      </c>
      <c r="D3" s="194" t="str">
        <f>CONCATENATE("Итого ",F3,"-",O3)</f>
        <v>Итого 2025-2034</v>
      </c>
      <c r="E3" s="152"/>
      <c r="F3" s="766"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671"/>
      <c r="Q3" s="157"/>
      <c r="R3" s="160">
        <v>2035</v>
      </c>
      <c r="S3" s="160">
        <f>R3+1</f>
        <v>2036</v>
      </c>
      <c r="T3" s="160">
        <f>S3+1</f>
        <v>2037</v>
      </c>
      <c r="U3" s="160">
        <f t="shared" si="0"/>
        <v>2038</v>
      </c>
      <c r="V3" s="160">
        <f t="shared" si="0"/>
        <v>2039</v>
      </c>
      <c r="W3" s="160">
        <f t="shared" si="0"/>
        <v>2040</v>
      </c>
      <c r="X3" s="160">
        <f t="shared" si="0"/>
        <v>2041</v>
      </c>
      <c r="Y3" s="160">
        <f t="shared" si="0"/>
        <v>2042</v>
      </c>
      <c r="Z3" s="160">
        <f t="shared" si="0"/>
        <v>2043</v>
      </c>
      <c r="AA3" s="160">
        <f t="shared" si="0"/>
        <v>2044</v>
      </c>
      <c r="AB3" s="152"/>
      <c r="AC3" s="152"/>
      <c r="AD3" s="152"/>
    </row>
    <row r="4" spans="1:45" ht="8.1" customHeight="1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6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45" ht="42.75">
      <c r="A5" s="146"/>
      <c r="B5" s="413" t="s">
        <v>263</v>
      </c>
      <c r="C5" s="265" t="s">
        <v>19</v>
      </c>
      <c r="D5" s="223">
        <f>SUM(D6:D10)</f>
        <v>84042.749860710188</v>
      </c>
      <c r="E5" s="71"/>
      <c r="F5" s="223">
        <f>SUM(F6:F10)</f>
        <v>7000</v>
      </c>
      <c r="G5" s="223">
        <f t="shared" ref="G5:O5" si="2">SUM(G6:G10)</f>
        <v>7280</v>
      </c>
      <c r="H5" s="223">
        <f t="shared" si="2"/>
        <v>7571.2000000000007</v>
      </c>
      <c r="I5" s="223">
        <f t="shared" si="2"/>
        <v>7874.0480000000007</v>
      </c>
      <c r="J5" s="223">
        <f t="shared" si="2"/>
        <v>8189.0099200000004</v>
      </c>
      <c r="K5" s="223">
        <f t="shared" si="2"/>
        <v>8516.5703168000018</v>
      </c>
      <c r="L5" s="223">
        <f t="shared" si="2"/>
        <v>8857.2331294720007</v>
      </c>
      <c r="M5" s="223">
        <f t="shared" si="2"/>
        <v>9211.5224546508816</v>
      </c>
      <c r="N5" s="223">
        <f t="shared" si="2"/>
        <v>9579.9833528369163</v>
      </c>
      <c r="O5" s="223">
        <f t="shared" si="2"/>
        <v>9963.1826869503948</v>
      </c>
      <c r="P5" s="348"/>
      <c r="Q5" s="156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71"/>
      <c r="AC5" s="71"/>
      <c r="AD5" s="71"/>
    </row>
    <row r="6" spans="1:45" ht="30">
      <c r="A6" s="146"/>
      <c r="B6" s="825" t="s">
        <v>1117</v>
      </c>
      <c r="C6" s="265" t="s">
        <v>19</v>
      </c>
      <c r="D6" s="348">
        <f>SUM(F6:O6)</f>
        <v>72036.642737751594</v>
      </c>
      <c r="E6" s="71"/>
      <c r="F6" s="753">
        <v>6000</v>
      </c>
      <c r="G6" s="753">
        <v>6240</v>
      </c>
      <c r="H6" s="753">
        <v>6489.6</v>
      </c>
      <c r="I6" s="753">
        <v>6749.1840000000002</v>
      </c>
      <c r="J6" s="753">
        <v>7019.1513600000008</v>
      </c>
      <c r="K6" s="753">
        <v>7299.9174144000008</v>
      </c>
      <c r="L6" s="753">
        <v>7591.9141109760012</v>
      </c>
      <c r="M6" s="753">
        <v>7895.5906754150419</v>
      </c>
      <c r="N6" s="753">
        <v>8211.4143024316436</v>
      </c>
      <c r="O6" s="753">
        <v>8539.8708745289096</v>
      </c>
      <c r="P6" s="349"/>
      <c r="Q6" s="156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832"/>
      <c r="AE6" s="833"/>
      <c r="AF6" s="833"/>
      <c r="AG6" s="833"/>
      <c r="AH6" s="833"/>
      <c r="AI6" s="833"/>
      <c r="AJ6" s="833"/>
      <c r="AK6" s="833"/>
      <c r="AL6" s="833"/>
      <c r="AM6" s="833"/>
      <c r="AN6" s="833"/>
      <c r="AO6" s="833"/>
      <c r="AP6" s="833"/>
      <c r="AQ6" s="833"/>
      <c r="AR6" s="833"/>
      <c r="AS6" s="833"/>
    </row>
    <row r="7" spans="1:45" ht="15" customHeight="1">
      <c r="A7" s="146"/>
      <c r="B7" s="206" t="s">
        <v>1118</v>
      </c>
      <c r="C7" s="265" t="s">
        <v>19</v>
      </c>
      <c r="D7" s="348">
        <f>SUM(F7:O7)</f>
        <v>4802.4428491834387</v>
      </c>
      <c r="E7" s="71"/>
      <c r="F7" s="753">
        <v>400</v>
      </c>
      <c r="G7" s="753">
        <v>416</v>
      </c>
      <c r="H7" s="753">
        <v>432.64</v>
      </c>
      <c r="I7" s="753">
        <v>449.94560000000001</v>
      </c>
      <c r="J7" s="753">
        <v>467.94342400000005</v>
      </c>
      <c r="K7" s="753">
        <v>486.66116096000007</v>
      </c>
      <c r="L7" s="753">
        <v>506.12760739840007</v>
      </c>
      <c r="M7" s="753">
        <v>526.37271169433609</v>
      </c>
      <c r="N7" s="753">
        <v>547.42762016210952</v>
      </c>
      <c r="O7" s="753">
        <v>569.32472496859396</v>
      </c>
      <c r="P7" s="349"/>
      <c r="Q7" s="156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94"/>
      <c r="AE7" s="794"/>
      <c r="AF7" s="794"/>
      <c r="AG7" s="794"/>
      <c r="AH7" s="794"/>
      <c r="AI7" s="794"/>
      <c r="AJ7" s="794"/>
      <c r="AK7" s="794"/>
      <c r="AL7" s="794"/>
      <c r="AM7" s="794"/>
      <c r="AN7" s="833"/>
      <c r="AO7" s="833"/>
      <c r="AP7" s="833"/>
      <c r="AQ7" s="833"/>
      <c r="AR7" s="833"/>
      <c r="AS7" s="833"/>
    </row>
    <row r="8" spans="1:45">
      <c r="A8" s="146"/>
      <c r="B8" s="206" t="s">
        <v>1119</v>
      </c>
      <c r="C8" s="265" t="s">
        <v>19</v>
      </c>
      <c r="D8" s="348">
        <f>SUM(F8:O8)</f>
        <v>7203.664273775159</v>
      </c>
      <c r="E8" s="71"/>
      <c r="F8" s="753">
        <v>600</v>
      </c>
      <c r="G8" s="753">
        <v>624</v>
      </c>
      <c r="H8" s="753">
        <v>648.96</v>
      </c>
      <c r="I8" s="753">
        <v>674.91840000000002</v>
      </c>
      <c r="J8" s="753">
        <v>701.91513600000008</v>
      </c>
      <c r="K8" s="753">
        <v>729.99174144000006</v>
      </c>
      <c r="L8" s="753">
        <v>759.19141109760005</v>
      </c>
      <c r="M8" s="753">
        <v>789.55906754150408</v>
      </c>
      <c r="N8" s="753">
        <v>821.14143024316422</v>
      </c>
      <c r="O8" s="753">
        <v>853.98708745289082</v>
      </c>
      <c r="P8" s="349"/>
      <c r="Q8" s="156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832"/>
      <c r="AE8" s="833"/>
      <c r="AF8" s="833"/>
      <c r="AG8" s="833"/>
      <c r="AH8" s="833"/>
      <c r="AI8" s="833"/>
      <c r="AJ8" s="833"/>
      <c r="AK8" s="833"/>
      <c r="AL8" s="833"/>
      <c r="AM8" s="833"/>
      <c r="AN8" s="833"/>
      <c r="AO8" s="833"/>
      <c r="AP8" s="833"/>
      <c r="AQ8" s="833"/>
      <c r="AR8" s="833"/>
      <c r="AS8" s="833"/>
    </row>
    <row r="9" spans="1:45">
      <c r="A9" s="146"/>
      <c r="B9" s="206" t="s">
        <v>257</v>
      </c>
      <c r="C9" s="265" t="s">
        <v>19</v>
      </c>
      <c r="D9" s="348">
        <f>SUM(F9:O9)</f>
        <v>0</v>
      </c>
      <c r="E9" s="71"/>
      <c r="F9" s="753"/>
      <c r="G9" s="753"/>
      <c r="H9" s="753"/>
      <c r="I9" s="753"/>
      <c r="J9" s="753"/>
      <c r="K9" s="753"/>
      <c r="L9" s="753"/>
      <c r="M9" s="753"/>
      <c r="N9" s="753"/>
      <c r="O9" s="753"/>
      <c r="P9" s="349"/>
      <c r="Q9" s="156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45">
      <c r="A10" s="146"/>
      <c r="B10" s="206" t="s">
        <v>258</v>
      </c>
      <c r="C10" s="265" t="s">
        <v>19</v>
      </c>
      <c r="D10" s="348">
        <f>SUM(F10:O10)</f>
        <v>0</v>
      </c>
      <c r="E10" s="71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349"/>
      <c r="Q10" s="156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45">
      <c r="A11" s="146"/>
      <c r="B11" s="206"/>
      <c r="C11" s="192"/>
      <c r="D11" s="146"/>
      <c r="E11" s="71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71"/>
      <c r="Q11" s="156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45" ht="42.75">
      <c r="A12" s="146"/>
      <c r="B12" s="413" t="s">
        <v>264</v>
      </c>
      <c r="C12" s="265" t="s">
        <v>19</v>
      </c>
      <c r="D12" s="223">
        <f t="shared" ref="D12:D17" si="3">SUM(F12:O12)</f>
        <v>84042.749860710202</v>
      </c>
      <c r="E12" s="71"/>
      <c r="F12" s="223">
        <f>SUM(F13:F17)</f>
        <v>7000</v>
      </c>
      <c r="G12" s="223">
        <f t="shared" ref="G12:O12" si="4">SUM(G13:G17)</f>
        <v>7280</v>
      </c>
      <c r="H12" s="223">
        <f t="shared" si="4"/>
        <v>7571.2000000000007</v>
      </c>
      <c r="I12" s="223">
        <f t="shared" si="4"/>
        <v>7874.0480000000007</v>
      </c>
      <c r="J12" s="223">
        <f t="shared" si="4"/>
        <v>8189.0099200000004</v>
      </c>
      <c r="K12" s="223">
        <f t="shared" si="4"/>
        <v>8516.5703168000018</v>
      </c>
      <c r="L12" s="223">
        <f t="shared" si="4"/>
        <v>8857.2331294720007</v>
      </c>
      <c r="M12" s="223">
        <f t="shared" si="4"/>
        <v>9211.5224546508816</v>
      </c>
      <c r="N12" s="223">
        <f t="shared" si="4"/>
        <v>9579.9833528369163</v>
      </c>
      <c r="O12" s="223">
        <f t="shared" si="4"/>
        <v>9963.1826869503948</v>
      </c>
      <c r="P12" s="348"/>
      <c r="Q12" s="156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45">
      <c r="A13" s="146"/>
      <c r="B13" s="206" t="s">
        <v>254</v>
      </c>
      <c r="C13" s="265" t="s">
        <v>19</v>
      </c>
      <c r="D13" s="348">
        <f t="shared" si="3"/>
        <v>72036.642737751594</v>
      </c>
      <c r="E13" s="71"/>
      <c r="F13" s="225">
        <f>F6*(1+Макро!F31)</f>
        <v>6000</v>
      </c>
      <c r="G13" s="225">
        <f>G6*(1+Макро!G31)</f>
        <v>6240</v>
      </c>
      <c r="H13" s="225">
        <f>H6*(1+Макро!H31)</f>
        <v>6489.6</v>
      </c>
      <c r="I13" s="225">
        <f>I6*(1+Макро!I31)</f>
        <v>6749.1840000000002</v>
      </c>
      <c r="J13" s="225">
        <f>J6*(1+Макро!J31)</f>
        <v>7019.1513600000008</v>
      </c>
      <c r="K13" s="225">
        <f>K6*(1+Макро!K31)</f>
        <v>7299.9174144000008</v>
      </c>
      <c r="L13" s="225">
        <f>L6*(1+Макро!L31)</f>
        <v>7591.9141109760012</v>
      </c>
      <c r="M13" s="225">
        <f>M6*(1+Макро!M31)</f>
        <v>7895.5906754150419</v>
      </c>
      <c r="N13" s="225">
        <f>N6*(1+Макро!N31)</f>
        <v>8211.4143024316436</v>
      </c>
      <c r="O13" s="225">
        <f>O6*(1+Макро!O31)</f>
        <v>8539.8708745289096</v>
      </c>
      <c r="P13" s="349"/>
      <c r="Q13" s="156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45">
      <c r="A14" s="146"/>
      <c r="B14" s="206" t="s">
        <v>255</v>
      </c>
      <c r="C14" s="265" t="s">
        <v>19</v>
      </c>
      <c r="D14" s="348">
        <f t="shared" si="3"/>
        <v>4802.4428491834387</v>
      </c>
      <c r="E14" s="71"/>
      <c r="F14" s="225">
        <f>F7*(1+Макро!F31)</f>
        <v>400</v>
      </c>
      <c r="G14" s="225">
        <f>G7*(1+Макро!G31)</f>
        <v>416</v>
      </c>
      <c r="H14" s="225">
        <f>H7*(1+Макро!H31)</f>
        <v>432.64</v>
      </c>
      <c r="I14" s="225">
        <f>I7*(1+Макро!I31)</f>
        <v>449.94560000000001</v>
      </c>
      <c r="J14" s="225">
        <f>J7*(1+Макро!J31)</f>
        <v>467.94342400000005</v>
      </c>
      <c r="K14" s="225">
        <f>K7*(1+Макро!K31)</f>
        <v>486.66116096000007</v>
      </c>
      <c r="L14" s="225">
        <f>L7*(1+Макро!L31)</f>
        <v>506.12760739840007</v>
      </c>
      <c r="M14" s="225">
        <f>M7*(1+Макро!M31)</f>
        <v>526.37271169433609</v>
      </c>
      <c r="N14" s="225">
        <f>N7*(1+Макро!N31)</f>
        <v>547.42762016210952</v>
      </c>
      <c r="O14" s="225">
        <f>O7*(1+Макро!O31)</f>
        <v>569.32472496859396</v>
      </c>
      <c r="P14" s="349"/>
      <c r="Q14" s="156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45">
      <c r="A15" s="146"/>
      <c r="B15" s="206" t="s">
        <v>256</v>
      </c>
      <c r="C15" s="265" t="s">
        <v>19</v>
      </c>
      <c r="D15" s="348">
        <f t="shared" si="3"/>
        <v>7203.664273775159</v>
      </c>
      <c r="E15" s="71"/>
      <c r="F15" s="225">
        <f>F8*(1+Макро!F31)</f>
        <v>600</v>
      </c>
      <c r="G15" s="225">
        <f>G8*(1+Макро!G31)</f>
        <v>624</v>
      </c>
      <c r="H15" s="225">
        <f>H8*(1+Макро!H31)</f>
        <v>648.96</v>
      </c>
      <c r="I15" s="225">
        <f>I8*(1+Макро!I31)</f>
        <v>674.91840000000002</v>
      </c>
      <c r="J15" s="225">
        <f>J8*(1+Макро!J31)</f>
        <v>701.91513600000008</v>
      </c>
      <c r="K15" s="225">
        <f>K8*(1+Макро!K31)</f>
        <v>729.99174144000006</v>
      </c>
      <c r="L15" s="225">
        <f>L8*(1+Макро!L31)</f>
        <v>759.19141109760005</v>
      </c>
      <c r="M15" s="225">
        <f>M8*(1+Макро!M31)</f>
        <v>789.55906754150408</v>
      </c>
      <c r="N15" s="225">
        <f>N8*(1+Макро!N31)</f>
        <v>821.14143024316422</v>
      </c>
      <c r="O15" s="225">
        <f>O8*(1+Макро!O31)</f>
        <v>853.98708745289082</v>
      </c>
      <c r="P15" s="349"/>
      <c r="Q15" s="156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45">
      <c r="A16" s="146"/>
      <c r="B16" s="206" t="s">
        <v>257</v>
      </c>
      <c r="C16" s="265" t="s">
        <v>19</v>
      </c>
      <c r="D16" s="348">
        <f t="shared" si="3"/>
        <v>0</v>
      </c>
      <c r="E16" s="71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349"/>
      <c r="Q16" s="156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>
      <c r="A17" s="146"/>
      <c r="B17" s="206" t="s">
        <v>258</v>
      </c>
      <c r="C17" s="265" t="s">
        <v>19</v>
      </c>
      <c r="D17" s="348">
        <f t="shared" si="3"/>
        <v>0</v>
      </c>
      <c r="E17" s="71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349"/>
      <c r="Q17" s="156"/>
    </row>
    <row r="18" spans="1:17">
      <c r="A18" s="146"/>
      <c r="B18" s="146"/>
      <c r="C18" s="192"/>
      <c r="D18" s="146"/>
      <c r="E18" s="71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71"/>
      <c r="Q18" s="156"/>
    </row>
    <row r="19" spans="1:17" ht="42.75">
      <c r="A19" s="146"/>
      <c r="B19" s="413" t="s">
        <v>265</v>
      </c>
      <c r="C19" s="265" t="s">
        <v>19</v>
      </c>
      <c r="D19" s="223">
        <f t="shared" ref="D19:D24" si="5">SUM(F19:O19)</f>
        <v>0</v>
      </c>
      <c r="E19" s="71"/>
      <c r="F19" s="223">
        <f>SUM(F20:F24)</f>
        <v>0</v>
      </c>
      <c r="G19" s="223">
        <f t="shared" ref="G19:O19" si="6">SUM(G20:G24)</f>
        <v>0</v>
      </c>
      <c r="H19" s="223">
        <f t="shared" si="6"/>
        <v>0</v>
      </c>
      <c r="I19" s="223">
        <f t="shared" si="6"/>
        <v>0</v>
      </c>
      <c r="J19" s="223">
        <f t="shared" si="6"/>
        <v>0</v>
      </c>
      <c r="K19" s="223">
        <f t="shared" si="6"/>
        <v>0</v>
      </c>
      <c r="L19" s="223">
        <f t="shared" si="6"/>
        <v>0</v>
      </c>
      <c r="M19" s="223">
        <f t="shared" si="6"/>
        <v>0</v>
      </c>
      <c r="N19" s="223">
        <f t="shared" si="6"/>
        <v>0</v>
      </c>
      <c r="O19" s="223">
        <f t="shared" si="6"/>
        <v>0</v>
      </c>
      <c r="P19" s="348"/>
      <c r="Q19" s="156"/>
    </row>
    <row r="20" spans="1:17">
      <c r="A20" s="146"/>
      <c r="B20" s="206" t="s">
        <v>254</v>
      </c>
      <c r="C20" s="265" t="s">
        <v>19</v>
      </c>
      <c r="D20" s="348">
        <f t="shared" si="5"/>
        <v>0</v>
      </c>
      <c r="E20" s="71"/>
      <c r="F20" s="225">
        <f>F6*Макро!F31</f>
        <v>0</v>
      </c>
      <c r="G20" s="225">
        <f>G6*Макро!G31</f>
        <v>0</v>
      </c>
      <c r="H20" s="225">
        <f>H6*Макро!H31</f>
        <v>0</v>
      </c>
      <c r="I20" s="225">
        <f>I6*Макро!I31</f>
        <v>0</v>
      </c>
      <c r="J20" s="225">
        <f>J6*Макро!J31</f>
        <v>0</v>
      </c>
      <c r="K20" s="225">
        <f>K6*Макро!K31</f>
        <v>0</v>
      </c>
      <c r="L20" s="225">
        <f>L6*Макро!L31</f>
        <v>0</v>
      </c>
      <c r="M20" s="225">
        <f>M6*Макро!M31</f>
        <v>0</v>
      </c>
      <c r="N20" s="225">
        <f>N6*Макро!N31</f>
        <v>0</v>
      </c>
      <c r="O20" s="225">
        <f>O6*Макро!O31</f>
        <v>0</v>
      </c>
      <c r="P20" s="349"/>
      <c r="Q20" s="156"/>
    </row>
    <row r="21" spans="1:17">
      <c r="A21" s="146"/>
      <c r="B21" s="206" t="s">
        <v>255</v>
      </c>
      <c r="C21" s="265" t="s">
        <v>19</v>
      </c>
      <c r="D21" s="348">
        <f t="shared" si="5"/>
        <v>0</v>
      </c>
      <c r="E21" s="71"/>
      <c r="F21" s="225">
        <f>F7*Макро!F31</f>
        <v>0</v>
      </c>
      <c r="G21" s="225">
        <f>G7*Макро!G31</f>
        <v>0</v>
      </c>
      <c r="H21" s="225">
        <f>H7*Макро!H31</f>
        <v>0</v>
      </c>
      <c r="I21" s="225">
        <f>I7*Макро!I31</f>
        <v>0</v>
      </c>
      <c r="J21" s="225">
        <f>J7*Макро!J31</f>
        <v>0</v>
      </c>
      <c r="K21" s="225">
        <f>K7*Макро!K31</f>
        <v>0</v>
      </c>
      <c r="L21" s="225">
        <f>L7*Макро!L31</f>
        <v>0</v>
      </c>
      <c r="M21" s="225">
        <f>M7*Макро!M31</f>
        <v>0</v>
      </c>
      <c r="N21" s="225">
        <f>N7*Макро!N31</f>
        <v>0</v>
      </c>
      <c r="O21" s="225">
        <f>O7*Макро!O31</f>
        <v>0</v>
      </c>
      <c r="P21" s="349"/>
      <c r="Q21" s="156"/>
    </row>
    <row r="22" spans="1:17">
      <c r="A22" s="146"/>
      <c r="B22" s="206" t="s">
        <v>256</v>
      </c>
      <c r="C22" s="265" t="s">
        <v>19</v>
      </c>
      <c r="D22" s="348">
        <f t="shared" si="5"/>
        <v>0</v>
      </c>
      <c r="E22" s="71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349"/>
      <c r="Q22" s="156"/>
    </row>
    <row r="23" spans="1:17">
      <c r="A23" s="146"/>
      <c r="B23" s="206" t="s">
        <v>257</v>
      </c>
      <c r="C23" s="265" t="s">
        <v>19</v>
      </c>
      <c r="D23" s="348">
        <f t="shared" si="5"/>
        <v>0</v>
      </c>
      <c r="E23" s="71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349"/>
      <c r="Q23" s="156"/>
    </row>
    <row r="24" spans="1:17">
      <c r="A24" s="146"/>
      <c r="B24" s="206" t="s">
        <v>258</v>
      </c>
      <c r="C24" s="265" t="s">
        <v>19</v>
      </c>
      <c r="D24" s="348">
        <f t="shared" si="5"/>
        <v>0</v>
      </c>
      <c r="E24" s="71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349"/>
      <c r="Q24" s="156"/>
    </row>
    <row r="25" spans="1:17">
      <c r="A25" s="146"/>
      <c r="B25" s="146"/>
      <c r="C25" s="192"/>
      <c r="D25" s="146"/>
      <c r="E25" s="71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71"/>
      <c r="Q25" s="156"/>
    </row>
    <row r="26" spans="1:17">
      <c r="A26" s="146"/>
      <c r="B26" s="146"/>
      <c r="C26" s="192"/>
      <c r="D26" s="146"/>
      <c r="E26" s="71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71"/>
      <c r="Q26" s="71"/>
    </row>
    <row r="27" spans="1:17">
      <c r="A27" s="146"/>
      <c r="B27" s="169" t="str">
        <f t="array" aca="1" ref="B27" ca="1">HYPERLINK(CELL("адрес",БДР!$A$1),"Перейти на лист БДР")</f>
        <v>Перейти на лист БДР</v>
      </c>
      <c r="C27" s="192"/>
      <c r="D27" s="146"/>
      <c r="E27" s="71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71"/>
      <c r="Q27" s="71"/>
    </row>
    <row r="28" spans="1:17">
      <c r="A28" s="146"/>
      <c r="B28" s="169" t="str">
        <f t="array" aca="1" ref="B28" ca="1">HYPERLINK(CELL("адрес",БДДС!$A$1),"Перейти на лист БДДС")</f>
        <v>Перейти на лист БДДС</v>
      </c>
      <c r="C28" s="192"/>
      <c r="D28" s="146"/>
      <c r="E28" s="71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71"/>
      <c r="Q28" s="71"/>
    </row>
    <row r="29" spans="1:17">
      <c r="A29" s="146"/>
      <c r="B29" s="169" t="str">
        <f t="array" aca="1" ref="B29" ca="1">HYPERLINK(CELL("адрес",Баланс!$A$1),"Перейти на лист Баланс")</f>
        <v>Перейти на лист Баланс</v>
      </c>
      <c r="C29" s="192"/>
      <c r="D29" s="146"/>
      <c r="E29" s="71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71"/>
      <c r="Q29" s="71"/>
    </row>
    <row r="30" spans="1:17">
      <c r="A30" s="71"/>
      <c r="B30" s="169" t="str">
        <f t="array" aca="1" ref="B30" ca="1">HYPERLINK(CELL("адрес",Дашборд_ИтогТабл!$A$1),"Перейти на лист Дашборд_1")</f>
        <v>Перейти на лист Дашборд_1</v>
      </c>
      <c r="C30" s="184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</row>
    <row r="31" spans="1:17" ht="30">
      <c r="A31" s="71"/>
      <c r="B31" s="169" t="str">
        <f t="array" aca="1" ref="B31" ca="1">HYPERLINK(CELL("адрес",Дашборд_Основной!$A$1),"Перейти на лист Дашборд_Общий")</f>
        <v>Перейти на лист Дашборд_Общий</v>
      </c>
      <c r="C31" s="184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7" ht="30">
      <c r="A32" s="71"/>
      <c r="B32" s="169" t="str">
        <f t="array" aca="1" ref="B32" ca="1">HYPERLINK(CELL("адрес",Дашборд_налоги!$A$1),"Перейти на лист Дашборд_Налоги")</f>
        <v>Перейти на лист Дашборд_Налоги</v>
      </c>
      <c r="C32" s="184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</sheetData>
  <hyperlinks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theme="9" tint="0.59999389629810485"/>
    <outlinePr summaryRight="0"/>
    <pageSetUpPr fitToPage="1"/>
  </sheetPr>
  <dimension ref="A1:AD32"/>
  <sheetViews>
    <sheetView zoomScaleNormal="100" workbookViewId="0">
      <pane xSplit="4" ySplit="4" topLeftCell="E5" activePane="bottomRight" state="frozen"/>
      <selection pane="topRight"/>
      <selection pane="bottomLeft"/>
      <selection pane="bottomRight" activeCell="G8" sqref="G8"/>
    </sheetView>
  </sheetViews>
  <sheetFormatPr defaultRowHeight="15" outlineLevelCol="1"/>
  <cols>
    <col min="1" max="1" width="11.5703125" customWidth="1"/>
    <col min="2" max="2" width="27.7109375" customWidth="1"/>
    <col min="3" max="3" width="11" style="5" customWidth="1"/>
    <col min="4" max="4" width="11" customWidth="1"/>
    <col min="5" max="5" width="2.28515625" customWidth="1"/>
    <col min="16" max="16" width="2.4257812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25.5">
      <c r="A1" s="651" t="s">
        <v>1044</v>
      </c>
      <c r="B1" s="71"/>
      <c r="C1" s="184"/>
      <c r="D1" s="71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155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>
      <c r="A2" s="71" t="str">
        <f>Паспорт_ФМ_резидент!B7</f>
        <v>Разработка, производство, модернизация и реализация …</v>
      </c>
      <c r="B2" s="71"/>
      <c r="C2" s="184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59"/>
      <c r="Q2" s="156"/>
      <c r="R2" s="159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 ht="28.5">
      <c r="A3" s="78" t="s">
        <v>2</v>
      </c>
      <c r="B3" s="78" t="s">
        <v>3</v>
      </c>
      <c r="C3" s="127" t="s">
        <v>12</v>
      </c>
      <c r="D3" s="194" t="str">
        <f>CONCATENATE("Итого ",F3,"-",O3)</f>
        <v>Итого 2025-2034</v>
      </c>
      <c r="E3" s="152"/>
      <c r="F3" s="766"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671"/>
      <c r="Q3" s="157"/>
      <c r="R3" s="160">
        <v>2035</v>
      </c>
      <c r="S3" s="160">
        <f>R3+1</f>
        <v>2036</v>
      </c>
      <c r="T3" s="160">
        <f>S3+1</f>
        <v>2037</v>
      </c>
      <c r="U3" s="160">
        <f t="shared" si="0"/>
        <v>2038</v>
      </c>
      <c r="V3" s="160">
        <f t="shared" si="0"/>
        <v>2039</v>
      </c>
      <c r="W3" s="160">
        <f t="shared" si="0"/>
        <v>2040</v>
      </c>
      <c r="X3" s="160">
        <f t="shared" si="0"/>
        <v>2041</v>
      </c>
      <c r="Y3" s="160">
        <f t="shared" si="0"/>
        <v>2042</v>
      </c>
      <c r="Z3" s="160">
        <f t="shared" si="0"/>
        <v>2043</v>
      </c>
      <c r="AA3" s="160">
        <f t="shared" si="0"/>
        <v>2044</v>
      </c>
      <c r="AB3" s="152"/>
      <c r="AC3" s="152"/>
      <c r="AD3" s="152"/>
    </row>
    <row r="4" spans="1:30" ht="8.1" customHeight="1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6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ht="30.95" customHeight="1">
      <c r="A5" s="146"/>
      <c r="B5" s="413" t="s">
        <v>259</v>
      </c>
      <c r="C5" s="265" t="s">
        <v>19</v>
      </c>
      <c r="D5" s="223">
        <f>SUM(D6:D10)</f>
        <v>127264.73550336115</v>
      </c>
      <c r="E5" s="71"/>
      <c r="F5" s="223">
        <f>SUM(F6:F10)</f>
        <v>10600</v>
      </c>
      <c r="G5" s="223">
        <f t="shared" ref="G5:O5" si="2">SUM(G6:G10)</f>
        <v>11024</v>
      </c>
      <c r="H5" s="223">
        <f t="shared" si="2"/>
        <v>11464.96</v>
      </c>
      <c r="I5" s="223">
        <f t="shared" si="2"/>
        <v>11923.558400000002</v>
      </c>
      <c r="J5" s="223">
        <f t="shared" si="2"/>
        <v>12400.500736000002</v>
      </c>
      <c r="K5" s="223">
        <f t="shared" si="2"/>
        <v>12896.520765440004</v>
      </c>
      <c r="L5" s="223">
        <f t="shared" si="2"/>
        <v>13412.381596057603</v>
      </c>
      <c r="M5" s="223">
        <f t="shared" si="2"/>
        <v>13948.876859899909</v>
      </c>
      <c r="N5" s="223">
        <f t="shared" si="2"/>
        <v>14506.831934295906</v>
      </c>
      <c r="O5" s="223">
        <f t="shared" si="2"/>
        <v>15087.105211667744</v>
      </c>
      <c r="P5" s="348"/>
      <c r="Q5" s="156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71"/>
      <c r="AC5" s="71"/>
      <c r="AD5" s="71"/>
    </row>
    <row r="6" spans="1:30" ht="45">
      <c r="A6" s="146"/>
      <c r="B6" s="825" t="s">
        <v>1120</v>
      </c>
      <c r="C6" s="265" t="s">
        <v>19</v>
      </c>
      <c r="D6" s="374">
        <f>SUM(F6:O6)</f>
        <v>120061.071229586</v>
      </c>
      <c r="E6" s="71"/>
      <c r="F6" s="753">
        <f>500*20</f>
        <v>10000</v>
      </c>
      <c r="G6" s="753">
        <f>F6*[1]Макро!G$6</f>
        <v>10400</v>
      </c>
      <c r="H6" s="753">
        <f>G6*[1]Макро!H$6</f>
        <v>10816</v>
      </c>
      <c r="I6" s="753">
        <f>H6*[1]Макро!I$6</f>
        <v>11248.640000000001</v>
      </c>
      <c r="J6" s="753">
        <f>I6*[1]Макро!J$6</f>
        <v>11698.585600000002</v>
      </c>
      <c r="K6" s="753">
        <f>J6*[1]Макро!K$6</f>
        <v>12166.529024000003</v>
      </c>
      <c r="L6" s="753">
        <f>K6*[1]Макро!L$6</f>
        <v>12653.190184960004</v>
      </c>
      <c r="M6" s="753">
        <f>L6*[1]Макро!M$6</f>
        <v>13159.317792358404</v>
      </c>
      <c r="N6" s="753">
        <f>M6*[1]Макро!N$6</f>
        <v>13685.690504052742</v>
      </c>
      <c r="O6" s="753">
        <f>N6*[1]Макро!O$6</f>
        <v>14233.118124214852</v>
      </c>
      <c r="P6" s="349"/>
      <c r="Q6" s="156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ht="30">
      <c r="A7" s="146"/>
      <c r="B7" s="206" t="s">
        <v>1121</v>
      </c>
      <c r="C7" s="265" t="s">
        <v>19</v>
      </c>
      <c r="D7" s="374">
        <f>SUM(F7:O7)</f>
        <v>7203.664273775159</v>
      </c>
      <c r="E7" s="71"/>
      <c r="F7" s="753">
        <v>600</v>
      </c>
      <c r="G7" s="753">
        <f>F7*[1]Макро!G$6</f>
        <v>624</v>
      </c>
      <c r="H7" s="753">
        <f>G7*[1]Макро!H$6</f>
        <v>648.96</v>
      </c>
      <c r="I7" s="753">
        <f>H7*[1]Макро!I$6</f>
        <v>674.91840000000002</v>
      </c>
      <c r="J7" s="753">
        <f>I7*[1]Макро!J$6</f>
        <v>701.91513600000008</v>
      </c>
      <c r="K7" s="753">
        <f>J7*[1]Макро!K$6</f>
        <v>729.99174144000006</v>
      </c>
      <c r="L7" s="753">
        <f>K7*[1]Макро!L$6</f>
        <v>759.19141109760005</v>
      </c>
      <c r="M7" s="753">
        <f>L7*[1]Макро!M$6</f>
        <v>789.55906754150408</v>
      </c>
      <c r="N7" s="753">
        <f>M7*[1]Макро!N$6</f>
        <v>821.14143024316422</v>
      </c>
      <c r="O7" s="753">
        <f>N7*[1]Макро!O$6</f>
        <v>853.98708745289082</v>
      </c>
      <c r="P7" s="349"/>
      <c r="Q7" s="156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>
      <c r="A8" s="146"/>
      <c r="B8" s="206" t="s">
        <v>256</v>
      </c>
      <c r="C8" s="265" t="s">
        <v>19</v>
      </c>
      <c r="D8" s="374">
        <f>SUM(F8:O8)</f>
        <v>0</v>
      </c>
      <c r="E8" s="71"/>
      <c r="F8" s="753"/>
      <c r="G8" s="753"/>
      <c r="H8" s="753"/>
      <c r="I8" s="753"/>
      <c r="J8" s="753"/>
      <c r="K8" s="753"/>
      <c r="L8" s="753"/>
      <c r="M8" s="753"/>
      <c r="N8" s="753"/>
      <c r="O8" s="753"/>
      <c r="P8" s="349"/>
      <c r="Q8" s="156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>
      <c r="A9" s="146"/>
      <c r="B9" s="206" t="s">
        <v>257</v>
      </c>
      <c r="C9" s="265" t="s">
        <v>19</v>
      </c>
      <c r="D9" s="374">
        <f>SUM(F9:O9)</f>
        <v>0</v>
      </c>
      <c r="E9" s="71"/>
      <c r="F9" s="753"/>
      <c r="G9" s="753"/>
      <c r="H9" s="753"/>
      <c r="I9" s="753"/>
      <c r="J9" s="753"/>
      <c r="K9" s="753"/>
      <c r="L9" s="753"/>
      <c r="M9" s="753"/>
      <c r="N9" s="753"/>
      <c r="O9" s="753"/>
      <c r="P9" s="349"/>
      <c r="Q9" s="156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>
      <c r="A10" s="146"/>
      <c r="B10" s="206" t="s">
        <v>258</v>
      </c>
      <c r="C10" s="265" t="s">
        <v>19</v>
      </c>
      <c r="D10" s="374">
        <f>SUM(F10:O10)</f>
        <v>0</v>
      </c>
      <c r="E10" s="71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349"/>
      <c r="Q10" s="156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>
      <c r="A11" s="146"/>
      <c r="B11" s="206"/>
      <c r="C11" s="192"/>
      <c r="D11" s="146"/>
      <c r="E11" s="71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71"/>
      <c r="Q11" s="156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ht="30.95" customHeight="1">
      <c r="A12" s="146"/>
      <c r="B12" s="413" t="s">
        <v>260</v>
      </c>
      <c r="C12" s="265" t="s">
        <v>19</v>
      </c>
      <c r="D12" s="223">
        <f t="shared" ref="D12:D17" si="3">SUM(F12:O12)</f>
        <v>127264.73550336117</v>
      </c>
      <c r="E12" s="71"/>
      <c r="F12" s="223">
        <f>SUM(F13:F17)</f>
        <v>10600</v>
      </c>
      <c r="G12" s="223">
        <f t="shared" ref="G12:O12" si="4">SUM(G13:G17)</f>
        <v>11024</v>
      </c>
      <c r="H12" s="223">
        <f t="shared" si="4"/>
        <v>11464.96</v>
      </c>
      <c r="I12" s="223">
        <f t="shared" si="4"/>
        <v>11923.558400000002</v>
      </c>
      <c r="J12" s="223">
        <f t="shared" si="4"/>
        <v>12400.500736000002</v>
      </c>
      <c r="K12" s="223">
        <f t="shared" si="4"/>
        <v>12896.520765440004</v>
      </c>
      <c r="L12" s="223">
        <f t="shared" si="4"/>
        <v>13412.381596057603</v>
      </c>
      <c r="M12" s="223">
        <f t="shared" si="4"/>
        <v>13948.876859899909</v>
      </c>
      <c r="N12" s="223">
        <f t="shared" si="4"/>
        <v>14506.831934295906</v>
      </c>
      <c r="O12" s="223">
        <f t="shared" si="4"/>
        <v>15087.105211667744</v>
      </c>
      <c r="P12" s="348"/>
      <c r="Q12" s="156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71"/>
      <c r="AC12" s="71"/>
      <c r="AD12" s="71"/>
    </row>
    <row r="13" spans="1:30">
      <c r="A13" s="146"/>
      <c r="B13" s="206" t="s">
        <v>254</v>
      </c>
      <c r="C13" s="265" t="s">
        <v>19</v>
      </c>
      <c r="D13" s="374">
        <f t="shared" si="3"/>
        <v>120061.071229586</v>
      </c>
      <c r="E13" s="71"/>
      <c r="F13" s="753">
        <f>F6*(1+Макро!F31)</f>
        <v>10000</v>
      </c>
      <c r="G13" s="753">
        <f>G6*(1+Макро!G31)</f>
        <v>10400</v>
      </c>
      <c r="H13" s="753">
        <f>H6*(1+Макро!H31)</f>
        <v>10816</v>
      </c>
      <c r="I13" s="753">
        <f>I6*(1+Макро!I31)</f>
        <v>11248.640000000001</v>
      </c>
      <c r="J13" s="753">
        <f>J6*(1+Макро!J31)</f>
        <v>11698.585600000002</v>
      </c>
      <c r="K13" s="753">
        <f>K6*(1+Макро!K31)</f>
        <v>12166.529024000003</v>
      </c>
      <c r="L13" s="753">
        <f>L6*(1+Макро!L31)</f>
        <v>12653.190184960004</v>
      </c>
      <c r="M13" s="753">
        <f>M6*(1+Макро!M31)</f>
        <v>13159.317792358404</v>
      </c>
      <c r="N13" s="753">
        <f>N6*(1+Макро!N31)</f>
        <v>13685.690504052742</v>
      </c>
      <c r="O13" s="753">
        <f>O6*(1+Макро!O31)</f>
        <v>14233.118124214852</v>
      </c>
      <c r="P13" s="349"/>
      <c r="Q13" s="156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>
      <c r="A14" s="146"/>
      <c r="B14" s="206" t="s">
        <v>255</v>
      </c>
      <c r="C14" s="265" t="s">
        <v>19</v>
      </c>
      <c r="D14" s="374">
        <f t="shared" si="3"/>
        <v>7203.664273775159</v>
      </c>
      <c r="E14" s="71"/>
      <c r="F14" s="753">
        <f>F7*(1+Макро!F31)</f>
        <v>600</v>
      </c>
      <c r="G14" s="753">
        <f>G7*(1+Макро!G31)</f>
        <v>624</v>
      </c>
      <c r="H14" s="753">
        <f>H7*(1+Макро!H31)</f>
        <v>648.96</v>
      </c>
      <c r="I14" s="753">
        <f>I7*(1+Макро!I31)</f>
        <v>674.91840000000002</v>
      </c>
      <c r="J14" s="753">
        <f>J7*(1+Макро!J31)</f>
        <v>701.91513600000008</v>
      </c>
      <c r="K14" s="753">
        <f>K7*(1+Макро!K31)</f>
        <v>729.99174144000006</v>
      </c>
      <c r="L14" s="753">
        <f>L7*(1+Макро!L31)</f>
        <v>759.19141109760005</v>
      </c>
      <c r="M14" s="753">
        <f>M7*(1+Макро!M31)</f>
        <v>789.55906754150408</v>
      </c>
      <c r="N14" s="753">
        <f>N7*(1+Макро!N31)</f>
        <v>821.14143024316422</v>
      </c>
      <c r="O14" s="753">
        <f>O7*(1+Макро!O31)</f>
        <v>853.98708745289082</v>
      </c>
      <c r="P14" s="349"/>
      <c r="Q14" s="156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>
      <c r="A15" s="146"/>
      <c r="B15" s="206" t="s">
        <v>256</v>
      </c>
      <c r="C15" s="265" t="s">
        <v>19</v>
      </c>
      <c r="D15" s="374">
        <f t="shared" si="3"/>
        <v>0</v>
      </c>
      <c r="E15" s="71"/>
      <c r="F15" s="753"/>
      <c r="G15" s="753"/>
      <c r="H15" s="753"/>
      <c r="I15" s="753"/>
      <c r="J15" s="753"/>
      <c r="K15" s="753"/>
      <c r="L15" s="753"/>
      <c r="M15" s="753"/>
      <c r="N15" s="753"/>
      <c r="O15" s="753"/>
      <c r="P15" s="349"/>
      <c r="Q15" s="156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>
      <c r="A16" s="146"/>
      <c r="B16" s="206" t="s">
        <v>257</v>
      </c>
      <c r="C16" s="265" t="s">
        <v>19</v>
      </c>
      <c r="D16" s="374">
        <f t="shared" si="3"/>
        <v>0</v>
      </c>
      <c r="E16" s="71"/>
      <c r="F16" s="753"/>
      <c r="G16" s="753"/>
      <c r="H16" s="753"/>
      <c r="I16" s="753"/>
      <c r="J16" s="753"/>
      <c r="K16" s="753"/>
      <c r="L16" s="753"/>
      <c r="M16" s="753"/>
      <c r="N16" s="753"/>
      <c r="O16" s="753"/>
      <c r="P16" s="349"/>
      <c r="Q16" s="156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>
      <c r="A17" s="146"/>
      <c r="B17" s="206" t="s">
        <v>258</v>
      </c>
      <c r="C17" s="265" t="s">
        <v>19</v>
      </c>
      <c r="D17" s="374">
        <f t="shared" si="3"/>
        <v>0</v>
      </c>
      <c r="E17" s="71"/>
      <c r="F17" s="753"/>
      <c r="G17" s="753"/>
      <c r="H17" s="753"/>
      <c r="I17" s="753"/>
      <c r="J17" s="753"/>
      <c r="K17" s="753"/>
      <c r="L17" s="753"/>
      <c r="M17" s="753"/>
      <c r="N17" s="753"/>
      <c r="O17" s="753"/>
      <c r="P17" s="349"/>
      <c r="Q17" s="156"/>
    </row>
    <row r="18" spans="1:17">
      <c r="A18" s="146"/>
      <c r="B18" s="146"/>
      <c r="C18" s="192"/>
      <c r="D18" s="146"/>
      <c r="E18" s="71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71"/>
      <c r="Q18" s="156"/>
    </row>
    <row r="19" spans="1:17" ht="28.5">
      <c r="A19" s="146"/>
      <c r="B19" s="413" t="s">
        <v>262</v>
      </c>
      <c r="C19" s="265" t="s">
        <v>19</v>
      </c>
      <c r="D19" s="223">
        <f t="shared" ref="D19:D24" si="5">SUM(F19:O19)</f>
        <v>0</v>
      </c>
      <c r="E19" s="71"/>
      <c r="F19" s="223">
        <f t="shared" ref="F19:O19" si="6">SUM(F20:F24)</f>
        <v>0</v>
      </c>
      <c r="G19" s="223">
        <f t="shared" si="6"/>
        <v>0</v>
      </c>
      <c r="H19" s="223">
        <f t="shared" si="6"/>
        <v>0</v>
      </c>
      <c r="I19" s="223">
        <f t="shared" si="6"/>
        <v>0</v>
      </c>
      <c r="J19" s="223">
        <f t="shared" si="6"/>
        <v>0</v>
      </c>
      <c r="K19" s="223">
        <f t="shared" si="6"/>
        <v>0</v>
      </c>
      <c r="L19" s="223">
        <f t="shared" si="6"/>
        <v>0</v>
      </c>
      <c r="M19" s="223">
        <f t="shared" si="6"/>
        <v>0</v>
      </c>
      <c r="N19" s="223">
        <f t="shared" si="6"/>
        <v>0</v>
      </c>
      <c r="O19" s="223">
        <f t="shared" si="6"/>
        <v>0</v>
      </c>
      <c r="P19" s="348"/>
      <c r="Q19" s="156"/>
    </row>
    <row r="20" spans="1:17">
      <c r="A20" s="146"/>
      <c r="B20" s="206" t="s">
        <v>254</v>
      </c>
      <c r="C20" s="265" t="s">
        <v>19</v>
      </c>
      <c r="D20" s="374">
        <f t="shared" si="5"/>
        <v>0</v>
      </c>
      <c r="E20" s="71"/>
      <c r="F20" s="225">
        <f>F6*Макро!F31</f>
        <v>0</v>
      </c>
      <c r="G20" s="225">
        <f>G6*Макро!G31</f>
        <v>0</v>
      </c>
      <c r="H20" s="225">
        <f>H6*Макро!H31</f>
        <v>0</v>
      </c>
      <c r="I20" s="225">
        <f>I6*Макро!I31</f>
        <v>0</v>
      </c>
      <c r="J20" s="225">
        <f>J6*Макро!J31</f>
        <v>0</v>
      </c>
      <c r="K20" s="225">
        <f>K6*Макро!K31</f>
        <v>0</v>
      </c>
      <c r="L20" s="225">
        <f>L6*Макро!L31</f>
        <v>0</v>
      </c>
      <c r="M20" s="225">
        <f>M6*Макро!M31</f>
        <v>0</v>
      </c>
      <c r="N20" s="225">
        <f>N6*Макро!N31</f>
        <v>0</v>
      </c>
      <c r="O20" s="225">
        <f>O6*Макро!O31</f>
        <v>0</v>
      </c>
      <c r="P20" s="349"/>
      <c r="Q20" s="156"/>
    </row>
    <row r="21" spans="1:17">
      <c r="A21" s="146"/>
      <c r="B21" s="206" t="s">
        <v>261</v>
      </c>
      <c r="C21" s="265" t="s">
        <v>19</v>
      </c>
      <c r="D21" s="374">
        <f t="shared" si="5"/>
        <v>0</v>
      </c>
      <c r="E21" s="71"/>
      <c r="F21" s="225">
        <f>F7*Макро!F31</f>
        <v>0</v>
      </c>
      <c r="G21" s="225">
        <f>G7*Макро!G31</f>
        <v>0</v>
      </c>
      <c r="H21" s="225">
        <f>H7*Макро!H31</f>
        <v>0</v>
      </c>
      <c r="I21" s="225">
        <f>I7*Макро!I31</f>
        <v>0</v>
      </c>
      <c r="J21" s="225">
        <f>J7*Макро!J31</f>
        <v>0</v>
      </c>
      <c r="K21" s="225">
        <f>K7*Макро!K31</f>
        <v>0</v>
      </c>
      <c r="L21" s="225">
        <f>L7*Макро!L31</f>
        <v>0</v>
      </c>
      <c r="M21" s="225">
        <f>M7*Макро!M31</f>
        <v>0</v>
      </c>
      <c r="N21" s="225">
        <f>N7*Макро!N31</f>
        <v>0</v>
      </c>
      <c r="O21" s="225">
        <f>O7*Макро!O31</f>
        <v>0</v>
      </c>
      <c r="P21" s="349"/>
      <c r="Q21" s="156"/>
    </row>
    <row r="22" spans="1:17">
      <c r="A22" s="146"/>
      <c r="B22" s="206" t="s">
        <v>256</v>
      </c>
      <c r="C22" s="265" t="s">
        <v>19</v>
      </c>
      <c r="D22" s="374">
        <f t="shared" si="5"/>
        <v>0</v>
      </c>
      <c r="E22" s="71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349"/>
      <c r="Q22" s="156"/>
    </row>
    <row r="23" spans="1:17">
      <c r="A23" s="146"/>
      <c r="B23" s="206" t="s">
        <v>257</v>
      </c>
      <c r="C23" s="265" t="s">
        <v>19</v>
      </c>
      <c r="D23" s="374">
        <f t="shared" si="5"/>
        <v>0</v>
      </c>
      <c r="E23" s="71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349"/>
      <c r="Q23" s="156"/>
    </row>
    <row r="24" spans="1:17">
      <c r="A24" s="146"/>
      <c r="B24" s="206" t="s">
        <v>258</v>
      </c>
      <c r="C24" s="265" t="s">
        <v>19</v>
      </c>
      <c r="D24" s="374">
        <f t="shared" si="5"/>
        <v>0</v>
      </c>
      <c r="E24" s="71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349"/>
      <c r="Q24" s="156"/>
    </row>
    <row r="25" spans="1:17">
      <c r="A25" s="146"/>
      <c r="B25" s="146"/>
      <c r="C25" s="192"/>
      <c r="D25" s="146"/>
      <c r="E25" s="71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71"/>
      <c r="Q25" s="71"/>
    </row>
    <row r="26" spans="1:17">
      <c r="A26" s="146"/>
      <c r="B26" s="146"/>
      <c r="C26" s="192"/>
      <c r="D26" s="146"/>
      <c r="E26" s="71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71"/>
      <c r="Q26" s="71"/>
    </row>
    <row r="27" spans="1:17">
      <c r="A27" s="146"/>
      <c r="B27" s="169" t="str">
        <f t="array" aca="1" ref="B27" ca="1">HYPERLINK(CELL("адрес",БДР!$A$1),"Перейти на лист БДР")</f>
        <v>Перейти на лист БДР</v>
      </c>
      <c r="C27" s="192"/>
      <c r="D27" s="146"/>
      <c r="E27" s="71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71"/>
      <c r="Q27" s="71"/>
    </row>
    <row r="28" spans="1:17">
      <c r="A28" s="146"/>
      <c r="B28" s="169" t="str">
        <f t="array" aca="1" ref="B28" ca="1">HYPERLINK(CELL("адрес",БДДС!$A$1),"Перейти на лист БДДС")</f>
        <v>Перейти на лист БДДС</v>
      </c>
      <c r="C28" s="192"/>
      <c r="D28" s="146"/>
      <c r="E28" s="71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71"/>
      <c r="Q28" s="71"/>
    </row>
    <row r="29" spans="1:17">
      <c r="A29" s="146"/>
      <c r="B29" s="169" t="str">
        <f t="array" aca="1" ref="B29" ca="1">HYPERLINK(CELL("адрес",Баланс!$A$1),"Перейти на лист Баланс")</f>
        <v>Перейти на лист Баланс</v>
      </c>
      <c r="C29" s="192"/>
      <c r="D29" s="146"/>
      <c r="E29" s="71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71"/>
      <c r="Q29" s="71"/>
    </row>
    <row r="30" spans="1:17">
      <c r="A30" s="146"/>
      <c r="B30" s="169" t="str">
        <f t="array" aca="1" ref="B30" ca="1">HYPERLINK(CELL("адрес",Дашборд_ИтогТабл!$A$1),"Перейти на лист Дашборд_1")</f>
        <v>Перейти на лист Дашборд_1</v>
      </c>
      <c r="C30" s="192"/>
      <c r="D30" s="146"/>
      <c r="E30" s="71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71"/>
      <c r="Q30" s="71"/>
    </row>
    <row r="31" spans="1:17" ht="30">
      <c r="A31" s="146"/>
      <c r="B31" s="169" t="str">
        <f t="array" aca="1" ref="B31" ca="1">HYPERLINK(CELL("адрес",Дашборд_Основной!$A$1),"Перейти на лист Дашборд_Общий")</f>
        <v>Перейти на лист Дашборд_Общий</v>
      </c>
      <c r="C31" s="192"/>
      <c r="D31" s="146"/>
      <c r="E31" s="71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71"/>
      <c r="Q31" s="71"/>
    </row>
    <row r="32" spans="1:17" ht="30">
      <c r="A32" s="71"/>
      <c r="B32" s="169" t="str">
        <f t="array" aca="1" ref="B32" ca="1">HYPERLINK(CELL("адрес",Дашборд_налоги!$A$1),"Перейти на лист Дашборд_Налоги")</f>
        <v>Перейти на лист Дашборд_Налоги</v>
      </c>
      <c r="C32" s="184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</sheetData>
  <phoneticPr fontId="18" type="noConversion"/>
  <hyperlinks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theme="9" tint="0.59999389629810485"/>
    <outlinePr summaryRight="0"/>
    <pageSetUpPr fitToPage="1"/>
  </sheetPr>
  <dimension ref="A1:AD18"/>
  <sheetViews>
    <sheetView zoomScale="115" zoomScaleNormal="115" workbookViewId="0">
      <pane xSplit="4" ySplit="4" topLeftCell="K5" activePane="bottomRight" state="frozen"/>
      <selection pane="topRight"/>
      <selection pane="bottomLeft"/>
      <selection pane="bottomRight" activeCell="N10" sqref="N10"/>
    </sheetView>
  </sheetViews>
  <sheetFormatPr defaultRowHeight="15" outlineLevelCol="1"/>
  <cols>
    <col min="1" max="1" width="11.5703125" customWidth="1"/>
    <col min="2" max="2" width="27.7109375" customWidth="1"/>
    <col min="3" max="3" width="11" style="5" customWidth="1"/>
    <col min="4" max="4" width="11" customWidth="1"/>
    <col min="5" max="5" width="2.28515625" customWidth="1"/>
    <col min="16" max="16" width="2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25.5">
      <c r="A1" s="651" t="s">
        <v>91</v>
      </c>
      <c r="B1" s="71"/>
      <c r="C1" s="184"/>
      <c r="D1" s="71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155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>
      <c r="A2" s="71" t="str">
        <f>Паспорт_ФМ_резидент!B7</f>
        <v>Разработка, производство, модернизация и реализация …</v>
      </c>
      <c r="B2" s="71"/>
      <c r="C2" s="184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59"/>
      <c r="Q2" s="156"/>
      <c r="R2" s="159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 ht="28.5">
      <c r="A3" s="78" t="s">
        <v>2</v>
      </c>
      <c r="B3" s="78" t="s">
        <v>3</v>
      </c>
      <c r="C3" s="127" t="s">
        <v>12</v>
      </c>
      <c r="D3" s="194" t="str">
        <f>CONCATENATE("Итого ",F3,"-",O3)</f>
        <v>Итого 2025-2034</v>
      </c>
      <c r="E3" s="152"/>
      <c r="F3" s="766"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671"/>
      <c r="Q3" s="157"/>
      <c r="R3" s="160">
        <v>2035</v>
      </c>
      <c r="S3" s="160">
        <f>R3+1</f>
        <v>2036</v>
      </c>
      <c r="T3" s="160">
        <f>S3+1</f>
        <v>2037</v>
      </c>
      <c r="U3" s="160">
        <f t="shared" si="0"/>
        <v>2038</v>
      </c>
      <c r="V3" s="160">
        <f t="shared" si="0"/>
        <v>2039</v>
      </c>
      <c r="W3" s="160">
        <f t="shared" si="0"/>
        <v>2040</v>
      </c>
      <c r="X3" s="160">
        <f t="shared" si="0"/>
        <v>2041</v>
      </c>
      <c r="Y3" s="160">
        <f t="shared" si="0"/>
        <v>2042</v>
      </c>
      <c r="Z3" s="160">
        <f t="shared" si="0"/>
        <v>2043</v>
      </c>
      <c r="AA3" s="160">
        <f t="shared" si="0"/>
        <v>2044</v>
      </c>
      <c r="AB3" s="152"/>
      <c r="AC3" s="152"/>
      <c r="AD3" s="152"/>
    </row>
    <row r="4" spans="1:30" ht="8.1" customHeight="1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6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ht="30.95" customHeight="1">
      <c r="A5" s="146"/>
      <c r="B5" s="413" t="s">
        <v>275</v>
      </c>
      <c r="C5" s="265" t="s">
        <v>19</v>
      </c>
      <c r="D5" s="223">
        <f>SUM(D6:D10)</f>
        <v>0</v>
      </c>
      <c r="E5" s="71"/>
      <c r="F5" s="223">
        <f>SUM(F6:F10)</f>
        <v>0</v>
      </c>
      <c r="G5" s="223">
        <f t="shared" ref="G5:O5" si="2">SUM(G6:G10)</f>
        <v>0</v>
      </c>
      <c r="H5" s="223">
        <f t="shared" si="2"/>
        <v>0</v>
      </c>
      <c r="I5" s="223">
        <f t="shared" si="2"/>
        <v>0</v>
      </c>
      <c r="J5" s="223">
        <f t="shared" si="2"/>
        <v>0</v>
      </c>
      <c r="K5" s="223">
        <f t="shared" si="2"/>
        <v>0</v>
      </c>
      <c r="L5" s="223">
        <f t="shared" si="2"/>
        <v>0</v>
      </c>
      <c r="M5" s="223">
        <f t="shared" si="2"/>
        <v>0</v>
      </c>
      <c r="N5" s="223">
        <f t="shared" si="2"/>
        <v>0</v>
      </c>
      <c r="O5" s="223">
        <f t="shared" si="2"/>
        <v>0</v>
      </c>
      <c r="P5" s="348"/>
      <c r="Q5" s="156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71"/>
      <c r="AC5" s="71"/>
      <c r="AD5" s="71"/>
    </row>
    <row r="6" spans="1:30">
      <c r="A6" s="146"/>
      <c r="B6" s="206" t="s">
        <v>254</v>
      </c>
      <c r="C6" s="265" t="s">
        <v>19</v>
      </c>
      <c r="D6" s="374">
        <f>SUM(F6:O6)</f>
        <v>0</v>
      </c>
      <c r="E6" s="71"/>
      <c r="F6" s="753"/>
      <c r="G6" s="753"/>
      <c r="H6" s="753"/>
      <c r="I6" s="753"/>
      <c r="J6" s="753"/>
      <c r="K6" s="753"/>
      <c r="L6" s="753"/>
      <c r="M6" s="753"/>
      <c r="N6" s="753"/>
      <c r="O6" s="753"/>
      <c r="P6" s="349"/>
      <c r="Q6" s="156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>
      <c r="A7" s="146"/>
      <c r="B7" s="206" t="s">
        <v>255</v>
      </c>
      <c r="C7" s="265" t="s">
        <v>19</v>
      </c>
      <c r="D7" s="374">
        <f>SUM(F7:O7)</f>
        <v>0</v>
      </c>
      <c r="E7" s="71"/>
      <c r="F7" s="753"/>
      <c r="G7" s="753"/>
      <c r="H7" s="753"/>
      <c r="I7" s="753"/>
      <c r="J7" s="753"/>
      <c r="K7" s="753"/>
      <c r="L7" s="753"/>
      <c r="M7" s="753"/>
      <c r="N7" s="753"/>
      <c r="O7" s="753"/>
      <c r="P7" s="349"/>
      <c r="Q7" s="156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>
      <c r="A8" s="146"/>
      <c r="B8" s="206" t="s">
        <v>256</v>
      </c>
      <c r="C8" s="265" t="s">
        <v>19</v>
      </c>
      <c r="D8" s="374">
        <f>SUM(F8:O8)</f>
        <v>0</v>
      </c>
      <c r="E8" s="71"/>
      <c r="F8" s="753"/>
      <c r="G8" s="753"/>
      <c r="H8" s="753"/>
      <c r="I8" s="753"/>
      <c r="J8" s="753"/>
      <c r="K8" s="753"/>
      <c r="L8" s="753"/>
      <c r="M8" s="753"/>
      <c r="N8" s="753"/>
      <c r="O8" s="753"/>
      <c r="P8" s="349"/>
      <c r="Q8" s="156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>
      <c r="A9" s="146"/>
      <c r="B9" s="206" t="s">
        <v>257</v>
      </c>
      <c r="C9" s="265" t="s">
        <v>19</v>
      </c>
      <c r="D9" s="374">
        <f>SUM(F9:O9)</f>
        <v>0</v>
      </c>
      <c r="E9" s="71"/>
      <c r="F9" s="753"/>
      <c r="G9" s="753"/>
      <c r="H9" s="753"/>
      <c r="I9" s="753"/>
      <c r="J9" s="753"/>
      <c r="K9" s="753"/>
      <c r="L9" s="753"/>
      <c r="M9" s="753"/>
      <c r="N9" s="753"/>
      <c r="O9" s="753"/>
      <c r="P9" s="349"/>
      <c r="Q9" s="156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>
      <c r="A10" s="146"/>
      <c r="B10" s="206" t="s">
        <v>258</v>
      </c>
      <c r="C10" s="265" t="s">
        <v>19</v>
      </c>
      <c r="D10" s="374">
        <f>SUM(F10:O10)</f>
        <v>0</v>
      </c>
      <c r="E10" s="71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349"/>
      <c r="Q10" s="156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>
      <c r="A11" s="146"/>
      <c r="B11" s="206"/>
      <c r="C11" s="192"/>
      <c r="D11" s="146"/>
      <c r="E11" s="71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71"/>
      <c r="Q11" s="156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>
      <c r="A12" s="146"/>
      <c r="B12" s="146"/>
      <c r="C12" s="192"/>
      <c r="D12" s="146"/>
      <c r="E12" s="71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71"/>
      <c r="Q12" s="156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>
      <c r="A13" s="146"/>
      <c r="B13" s="169" t="str">
        <f t="array" aca="1" ref="B13" ca="1">HYPERLINK(CELL("адрес",БДР!$A$1),"Перейти на лист БДР")</f>
        <v>Перейти на лист БДР</v>
      </c>
      <c r="C13" s="192"/>
      <c r="D13" s="146"/>
      <c r="E13" s="71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>
      <c r="A14" s="146"/>
      <c r="B14" s="169" t="str">
        <f t="array" aca="1" ref="B14" ca="1">HYPERLINK(CELL("адрес",БДДС!$A$1),"Перейти на лист БДДС")</f>
        <v>Перейти на лист БДДС</v>
      </c>
      <c r="C14" s="192"/>
      <c r="D14" s="146"/>
      <c r="E14" s="71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>
      <c r="A15" s="146"/>
      <c r="B15" s="169" t="str">
        <f t="array" aca="1" ref="B15" ca="1">HYPERLINK(CELL("адрес",Баланс!$A$1),"Перейти на лист Баланс")</f>
        <v>Перейти на лист Баланс</v>
      </c>
      <c r="C15" s="192"/>
      <c r="D15" s="146"/>
      <c r="E15" s="71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>
      <c r="A16" s="146"/>
      <c r="B16" s="169" t="str">
        <f t="array" aca="1" ref="B16" ca="1">HYPERLINK(CELL("адрес",Дашборд_ИтогТабл!$A$1),"Перейти на лист Дашборд_1")</f>
        <v>Перейти на лист Дашборд_1</v>
      </c>
      <c r="C16" s="192"/>
      <c r="D16" s="146"/>
      <c r="E16" s="71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ht="30">
      <c r="A17" s="146"/>
      <c r="B17" s="169" t="str">
        <f t="array" aca="1" ref="B17" ca="1">HYPERLINK(CELL("адрес",Дашборд_Основной!$A$1),"Перейти на лист Дашборд_Общий")</f>
        <v>Перейти на лист Дашборд_Общий</v>
      </c>
      <c r="C17" s="192"/>
      <c r="D17" s="146"/>
      <c r="E17" s="71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71"/>
      <c r="Q17" s="71"/>
    </row>
    <row r="18" spans="1:17" ht="30">
      <c r="A18" s="71"/>
      <c r="B18" s="169" t="str">
        <f t="array" aca="1" ref="B18" ca="1">HYPERLINK(CELL("адрес",Дашборд_налоги!$A$1),"Перейти на лист Дашборд_Налоги")</f>
        <v>Перейти на лист Дашборд_Налоги</v>
      </c>
      <c r="C18" s="184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</sheetData>
  <hyperlinks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theme="9" tint="0.59999389629810485"/>
    <outlinePr summaryRight="0"/>
    <pageSetUpPr fitToPage="1"/>
  </sheetPr>
  <dimension ref="A1:AD18"/>
  <sheetViews>
    <sheetView zoomScale="115" zoomScaleNormal="115" workbookViewId="0">
      <pane xSplit="4" ySplit="4" topLeftCell="E5" activePane="bottomRight" state="frozen"/>
      <selection pane="topRight"/>
      <selection pane="bottomLeft"/>
      <selection pane="bottomRight" activeCell="B7" sqref="B7"/>
    </sheetView>
  </sheetViews>
  <sheetFormatPr defaultRowHeight="15" outlineLevelCol="1"/>
  <cols>
    <col min="1" max="1" width="11.5703125" customWidth="1"/>
    <col min="2" max="2" width="27.7109375" customWidth="1"/>
    <col min="3" max="3" width="11" style="5" customWidth="1"/>
    <col min="4" max="4" width="11" customWidth="1"/>
    <col min="5" max="5" width="2.28515625" customWidth="1"/>
    <col min="16" max="16" width="1.710937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25.5">
      <c r="A1" s="651" t="s">
        <v>92</v>
      </c>
      <c r="B1" s="71"/>
      <c r="C1" s="184"/>
      <c r="D1" s="71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155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>
      <c r="A2" s="71" t="str">
        <f>Паспорт_ФМ_резидент!B7</f>
        <v>Разработка, производство, модернизация и реализация …</v>
      </c>
      <c r="B2" s="71"/>
      <c r="C2" s="184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59"/>
      <c r="Q2" s="156"/>
      <c r="R2" s="159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 ht="28.5">
      <c r="A3" s="78" t="s">
        <v>2</v>
      </c>
      <c r="B3" s="78" t="s">
        <v>3</v>
      </c>
      <c r="C3" s="127" t="s">
        <v>12</v>
      </c>
      <c r="D3" s="194" t="str">
        <f>CONCATENATE("Итого ",F3,"-",O3)</f>
        <v>Итого 2025-2034</v>
      </c>
      <c r="E3" s="152"/>
      <c r="F3" s="766"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671"/>
      <c r="Q3" s="157"/>
      <c r="R3" s="160">
        <v>2035</v>
      </c>
      <c r="S3" s="160">
        <f>R3+1</f>
        <v>2036</v>
      </c>
      <c r="T3" s="160">
        <f>S3+1</f>
        <v>2037</v>
      </c>
      <c r="U3" s="160">
        <f t="shared" si="0"/>
        <v>2038</v>
      </c>
      <c r="V3" s="160">
        <f t="shared" si="0"/>
        <v>2039</v>
      </c>
      <c r="W3" s="160">
        <f t="shared" si="0"/>
        <v>2040</v>
      </c>
      <c r="X3" s="160">
        <f t="shared" si="0"/>
        <v>2041</v>
      </c>
      <c r="Y3" s="160">
        <f t="shared" si="0"/>
        <v>2042</v>
      </c>
      <c r="Z3" s="160">
        <f t="shared" si="0"/>
        <v>2043</v>
      </c>
      <c r="AA3" s="160">
        <f t="shared" si="0"/>
        <v>2044</v>
      </c>
      <c r="AB3" s="152"/>
      <c r="AC3" s="152"/>
      <c r="AD3" s="152"/>
    </row>
    <row r="4" spans="1:30" ht="8.1" customHeight="1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6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ht="30.95" customHeight="1">
      <c r="A5" s="146"/>
      <c r="B5" s="413" t="s">
        <v>276</v>
      </c>
      <c r="C5" s="265" t="s">
        <v>19</v>
      </c>
      <c r="D5" s="223">
        <f>SUM(D6:D10)</f>
        <v>28214.351738952719</v>
      </c>
      <c r="E5" s="71"/>
      <c r="F5" s="223">
        <f>SUM(F6:F10)</f>
        <v>2350</v>
      </c>
      <c r="G5" s="223">
        <f t="shared" ref="G5:O5" si="2">SUM(G6:G10)</f>
        <v>2444</v>
      </c>
      <c r="H5" s="223">
        <f t="shared" si="2"/>
        <v>2541.7600000000002</v>
      </c>
      <c r="I5" s="223">
        <f t="shared" si="2"/>
        <v>2643.4304000000002</v>
      </c>
      <c r="J5" s="223">
        <f t="shared" si="2"/>
        <v>2749.1676160000006</v>
      </c>
      <c r="K5" s="223">
        <f t="shared" si="2"/>
        <v>2859.1343206400011</v>
      </c>
      <c r="L5" s="223">
        <f t="shared" si="2"/>
        <v>2973.499693465601</v>
      </c>
      <c r="M5" s="223">
        <f t="shared" si="2"/>
        <v>3092.4396812042251</v>
      </c>
      <c r="N5" s="223">
        <f t="shared" si="2"/>
        <v>3216.1372684523944</v>
      </c>
      <c r="O5" s="223">
        <f t="shared" si="2"/>
        <v>3344.7827591904902</v>
      </c>
      <c r="P5" s="348"/>
      <c r="Q5" s="156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71"/>
      <c r="AC5" s="71"/>
      <c r="AD5" s="71"/>
    </row>
    <row r="6" spans="1:30" ht="45">
      <c r="A6" s="146"/>
      <c r="B6" s="825" t="s">
        <v>1122</v>
      </c>
      <c r="C6" s="265" t="s">
        <v>19</v>
      </c>
      <c r="D6" s="374">
        <f>SUM(F6:O6)</f>
        <v>3001.5267807396503</v>
      </c>
      <c r="E6" s="71"/>
      <c r="F6" s="753">
        <v>250</v>
      </c>
      <c r="G6" s="753">
        <v>260</v>
      </c>
      <c r="H6" s="753">
        <v>270.40000000000003</v>
      </c>
      <c r="I6" s="753">
        <v>281.21600000000007</v>
      </c>
      <c r="J6" s="753">
        <v>292.46464000000009</v>
      </c>
      <c r="K6" s="753">
        <v>304.16322560000009</v>
      </c>
      <c r="L6" s="753">
        <v>316.32975462400009</v>
      </c>
      <c r="M6" s="753">
        <v>328.9829448089601</v>
      </c>
      <c r="N6" s="753">
        <v>342.14226260131852</v>
      </c>
      <c r="O6" s="753">
        <v>355.82795310537125</v>
      </c>
      <c r="P6" s="349"/>
      <c r="Q6" s="156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>
      <c r="A7" s="146"/>
      <c r="B7" s="206" t="s">
        <v>1123</v>
      </c>
      <c r="C7" s="265" t="s">
        <v>19</v>
      </c>
      <c r="D7" s="374">
        <f>SUM(F7:O7)</f>
        <v>25212.824958213067</v>
      </c>
      <c r="E7" s="71"/>
      <c r="F7" s="753">
        <v>2100</v>
      </c>
      <c r="G7" s="753">
        <v>2184</v>
      </c>
      <c r="H7" s="753">
        <v>2271.36</v>
      </c>
      <c r="I7" s="753">
        <v>2362.2144000000003</v>
      </c>
      <c r="J7" s="753">
        <v>2456.7029760000005</v>
      </c>
      <c r="K7" s="753">
        <v>2554.9710950400008</v>
      </c>
      <c r="L7" s="753">
        <v>2657.1699388416009</v>
      </c>
      <c r="M7" s="753">
        <v>2763.4567363952651</v>
      </c>
      <c r="N7" s="753">
        <v>2873.9950058510758</v>
      </c>
      <c r="O7" s="753">
        <v>2988.9548060851189</v>
      </c>
      <c r="P7" s="349"/>
      <c r="Q7" s="156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>
      <c r="A8" s="146"/>
      <c r="B8" s="206" t="s">
        <v>256</v>
      </c>
      <c r="C8" s="265" t="s">
        <v>19</v>
      </c>
      <c r="D8" s="374">
        <f>SUM(F8:O8)</f>
        <v>0</v>
      </c>
      <c r="E8" s="71"/>
      <c r="F8" s="753"/>
      <c r="G8" s="753"/>
      <c r="H8" s="753"/>
      <c r="I8" s="753"/>
      <c r="J8" s="753"/>
      <c r="K8" s="753"/>
      <c r="L8" s="753"/>
      <c r="M8" s="753"/>
      <c r="N8" s="753"/>
      <c r="O8" s="753"/>
      <c r="P8" s="349"/>
      <c r="Q8" s="156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>
      <c r="A9" s="146"/>
      <c r="B9" s="206" t="s">
        <v>257</v>
      </c>
      <c r="C9" s="265" t="s">
        <v>19</v>
      </c>
      <c r="D9" s="374">
        <f>SUM(F9:O9)</f>
        <v>0</v>
      </c>
      <c r="E9" s="71"/>
      <c r="F9" s="753"/>
      <c r="G9" s="753"/>
      <c r="H9" s="753"/>
      <c r="I9" s="753"/>
      <c r="J9" s="753"/>
      <c r="K9" s="753"/>
      <c r="L9" s="753"/>
      <c r="M9" s="753"/>
      <c r="N9" s="753"/>
      <c r="O9" s="753"/>
      <c r="P9" s="349"/>
      <c r="Q9" s="156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>
      <c r="A10" s="146"/>
      <c r="B10" s="206" t="s">
        <v>258</v>
      </c>
      <c r="C10" s="265" t="s">
        <v>19</v>
      </c>
      <c r="D10" s="374">
        <f>SUM(F10:O10)</f>
        <v>0</v>
      </c>
      <c r="E10" s="71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349"/>
      <c r="Q10" s="156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>
      <c r="A11" s="146"/>
      <c r="B11" s="206"/>
      <c r="C11" s="192"/>
      <c r="D11" s="146"/>
      <c r="E11" s="71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71"/>
      <c r="Q11" s="156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>
      <c r="A12" s="146"/>
      <c r="B12" s="146"/>
      <c r="C12" s="192"/>
      <c r="D12" s="146"/>
      <c r="E12" s="71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71"/>
      <c r="Q12" s="156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>
      <c r="A13" s="146"/>
      <c r="B13" s="169" t="str">
        <f t="array" aca="1" ref="B13" ca="1">HYPERLINK(CELL("адрес",БДР!$A$1),"Перейти на лист БДР")</f>
        <v>Перейти на лист БДР</v>
      </c>
      <c r="C13" s="192"/>
      <c r="D13" s="146"/>
      <c r="E13" s="71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>
      <c r="A14" s="146"/>
      <c r="B14" s="169" t="str">
        <f t="array" aca="1" ref="B14" ca="1">HYPERLINK(CELL("адрес",БДДС!$A$1),"Перейти на лист БДДС")</f>
        <v>Перейти на лист БДДС</v>
      </c>
      <c r="C14" s="192"/>
      <c r="D14" s="146"/>
      <c r="E14" s="71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>
      <c r="A15" s="146"/>
      <c r="B15" s="169" t="str">
        <f t="array" aca="1" ref="B15" ca="1">HYPERLINK(CELL("адрес",Баланс!$A$1),"Перейти на лист Баланс")</f>
        <v>Перейти на лист Баланс</v>
      </c>
      <c r="C15" s="192"/>
      <c r="D15" s="146"/>
      <c r="E15" s="71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>
      <c r="A16" s="146"/>
      <c r="B16" s="414" t="str">
        <f t="array" aca="1" ref="B16" ca="1">HYPERLINK(CELL("адрес",Дашборд_ИтогТабл!$A$1),"Перейти на лист Дашборд_1")</f>
        <v>Перейти на лист Дашборд_1</v>
      </c>
      <c r="C16" s="192"/>
      <c r="D16" s="146"/>
      <c r="E16" s="71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>
      <c r="A17" s="146"/>
      <c r="B17" s="414" t="str">
        <f t="array" aca="1" ref="B17" ca="1">HYPERLINK(CELL("адрес",Дашборд_Основной!$A$1),"Перейти на лист Дашборд_Общий")</f>
        <v>Перейти на лист Дашборд_Общий</v>
      </c>
      <c r="C17" s="192"/>
      <c r="D17" s="146"/>
      <c r="E17" s="71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71"/>
      <c r="Q17" s="71"/>
    </row>
    <row r="18" spans="1:17">
      <c r="A18" s="71"/>
      <c r="B18" s="414" t="str">
        <f t="array" aca="1" ref="B18" ca="1">HYPERLINK(CELL("адрес",Дашборд_налоги!$A$1),"Перейти на лист Дашборд_Налоги")</f>
        <v>Перейти на лист Дашборд_Налоги</v>
      </c>
      <c r="C18" s="184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</sheetData>
  <hyperlinks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theme="9" tint="0.59999389629810485"/>
    <outlinePr summaryRight="0"/>
    <pageSetUpPr fitToPage="1"/>
  </sheetPr>
  <dimension ref="A1:AD30"/>
  <sheetViews>
    <sheetView zoomScale="115" zoomScaleNormal="115" workbookViewId="0">
      <pane xSplit="4" ySplit="4" topLeftCell="E5" activePane="bottomRight" state="frozen"/>
      <selection pane="topRight"/>
      <selection pane="bottomLeft"/>
      <selection pane="bottomRight" activeCell="H16" sqref="H16"/>
    </sheetView>
  </sheetViews>
  <sheetFormatPr defaultRowHeight="15" outlineLevelCol="1"/>
  <cols>
    <col min="1" max="1" width="11.5703125" customWidth="1"/>
    <col min="2" max="2" width="27.7109375" customWidth="1"/>
    <col min="3" max="3" width="11" style="5" customWidth="1"/>
    <col min="4" max="4" width="11" customWidth="1"/>
    <col min="5" max="5" width="2.28515625" customWidth="1"/>
    <col min="16" max="16" width="2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25.5">
      <c r="A1" s="651" t="s">
        <v>267</v>
      </c>
      <c r="B1" s="71"/>
      <c r="C1" s="184"/>
      <c r="D1" s="71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155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>
      <c r="A2" s="71" t="str">
        <f>Паспорт_ФМ_резидент!B7</f>
        <v>Разработка, производство, модернизация и реализация …</v>
      </c>
      <c r="B2" s="71"/>
      <c r="C2" s="184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59"/>
      <c r="Q2" s="156"/>
      <c r="R2" s="159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 ht="28.5">
      <c r="A3" s="78" t="s">
        <v>2</v>
      </c>
      <c r="B3" s="78" t="s">
        <v>3</v>
      </c>
      <c r="C3" s="127" t="s">
        <v>12</v>
      </c>
      <c r="D3" s="194" t="str">
        <f>CONCATENATE("Итого ",F3,"-",O3)</f>
        <v>Итого 2025-2034</v>
      </c>
      <c r="E3" s="152"/>
      <c r="F3" s="766"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671"/>
      <c r="Q3" s="157"/>
      <c r="R3" s="160">
        <v>2035</v>
      </c>
      <c r="S3" s="160">
        <f>R3+1</f>
        <v>2036</v>
      </c>
      <c r="T3" s="160">
        <f>S3+1</f>
        <v>2037</v>
      </c>
      <c r="U3" s="160">
        <f t="shared" si="0"/>
        <v>2038</v>
      </c>
      <c r="V3" s="160">
        <f t="shared" si="0"/>
        <v>2039</v>
      </c>
      <c r="W3" s="160">
        <f t="shared" si="0"/>
        <v>2040</v>
      </c>
      <c r="X3" s="160">
        <f t="shared" si="0"/>
        <v>2041</v>
      </c>
      <c r="Y3" s="160">
        <f t="shared" si="0"/>
        <v>2042</v>
      </c>
      <c r="Z3" s="160">
        <f t="shared" si="0"/>
        <v>2043</v>
      </c>
      <c r="AA3" s="160">
        <f t="shared" si="0"/>
        <v>2044</v>
      </c>
      <c r="AB3" s="152"/>
      <c r="AC3" s="152"/>
      <c r="AD3" s="152"/>
    </row>
    <row r="4" spans="1:30" ht="8.1" customHeight="1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6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ht="28.5">
      <c r="A5" s="587"/>
      <c r="B5" s="413" t="s">
        <v>71</v>
      </c>
      <c r="C5" s="588"/>
      <c r="D5" s="231"/>
      <c r="E5" s="7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71"/>
      <c r="Q5" s="156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ht="60">
      <c r="A6" s="221" t="str">
        <f t="array" aca="1" ref="A6" ca="1">HYPERLINK(CELL("адрес",Инвестиции!A8),"источник")</f>
        <v>источник</v>
      </c>
      <c r="B6" s="206" t="s">
        <v>268</v>
      </c>
      <c r="C6" s="415" t="s">
        <v>19</v>
      </c>
      <c r="D6" s="374">
        <f>SUM(F6:O6)</f>
        <v>0</v>
      </c>
      <c r="E6" s="71"/>
      <c r="F6" s="225">
        <f>Инвестиции!F8</f>
        <v>0</v>
      </c>
      <c r="G6" s="225">
        <f>Инвестиции!G8</f>
        <v>0</v>
      </c>
      <c r="H6" s="225">
        <f>Инвестиции!H8</f>
        <v>0</v>
      </c>
      <c r="I6" s="225">
        <f>Инвестиции!I8</f>
        <v>0</v>
      </c>
      <c r="J6" s="225">
        <f>Инвестиции!J8</f>
        <v>0</v>
      </c>
      <c r="K6" s="225">
        <f>Инвестиции!K8</f>
        <v>0</v>
      </c>
      <c r="L6" s="225">
        <f>Инвестиции!L8</f>
        <v>0</v>
      </c>
      <c r="M6" s="225">
        <f>Инвестиции!M8</f>
        <v>0</v>
      </c>
      <c r="N6" s="225">
        <f>Инвестиции!N8</f>
        <v>0</v>
      </c>
      <c r="O6" s="225">
        <f>Инвестиции!O8</f>
        <v>0</v>
      </c>
      <c r="P6" s="349"/>
      <c r="Q6" s="156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>
      <c r="A7" s="236"/>
      <c r="B7" s="206"/>
      <c r="C7" s="192"/>
      <c r="D7" s="146"/>
      <c r="E7" s="71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71"/>
      <c r="Q7" s="156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>
      <c r="A8" s="236"/>
      <c r="B8" s="206"/>
      <c r="C8" s="192"/>
      <c r="D8" s="146"/>
      <c r="E8" s="71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71"/>
      <c r="Q8" s="156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ht="28.5">
      <c r="A9" s="587"/>
      <c r="B9" s="413" t="s">
        <v>69</v>
      </c>
      <c r="C9" s="588"/>
      <c r="D9" s="231"/>
      <c r="E9" s="7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71"/>
      <c r="Q9" s="156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>
      <c r="A10" s="236"/>
      <c r="B10" s="206"/>
      <c r="C10" s="192"/>
      <c r="D10" s="146"/>
      <c r="E10" s="71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349"/>
      <c r="Q10" s="156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>
      <c r="A11" s="221" t="str">
        <f t="array" aca="1" ref="A11" ca="1">HYPERLINK(CELL("адрес",Выручка!A9),"источник")</f>
        <v>источник</v>
      </c>
      <c r="B11" s="206" t="s">
        <v>269</v>
      </c>
      <c r="C11" s="415" t="s">
        <v>19</v>
      </c>
      <c r="D11" s="374">
        <f>SUM(F11:O11)</f>
        <v>77931.453479970573</v>
      </c>
      <c r="E11" s="71"/>
      <c r="F11" s="225">
        <f>Выручка!F9</f>
        <v>5500</v>
      </c>
      <c r="G11" s="225">
        <f>Выручка!G9</f>
        <v>6032</v>
      </c>
      <c r="H11" s="225">
        <f>Выручка!H9</f>
        <v>6597.7600000000011</v>
      </c>
      <c r="I11" s="225">
        <f>Выручка!I9</f>
        <v>7424.1024000000025</v>
      </c>
      <c r="J11" s="225">
        <f>Выручка!J9</f>
        <v>7896.545280000003</v>
      </c>
      <c r="K11" s="225">
        <f>Выручка!K9</f>
        <v>8212.4070912000025</v>
      </c>
      <c r="L11" s="225">
        <f>Выручка!L9</f>
        <v>8540.9033748480033</v>
      </c>
      <c r="M11" s="225">
        <f>Выручка!M9</f>
        <v>8882.5395098419231</v>
      </c>
      <c r="N11" s="225">
        <f>Выручка!N9</f>
        <v>9237.841090235599</v>
      </c>
      <c r="O11" s="225">
        <f>Выручка!O9</f>
        <v>9607.3547338450244</v>
      </c>
      <c r="P11" s="349"/>
      <c r="Q11" s="156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>
      <c r="A12" s="221" t="str">
        <f t="array" aca="1" ref="A12" ca="1">HYPERLINK(CELL("адрес",Себестоимость!A8),"источник")</f>
        <v>источник</v>
      </c>
      <c r="B12" s="206" t="s">
        <v>272</v>
      </c>
      <c r="C12" s="415" t="s">
        <v>19</v>
      </c>
      <c r="D12" s="374">
        <f>SUM(F12:O12)</f>
        <v>0</v>
      </c>
      <c r="E12" s="71"/>
      <c r="F12" s="225">
        <f>-Себестоимость!F8</f>
        <v>0</v>
      </c>
      <c r="G12" s="225">
        <f>-Себестоимость!G8</f>
        <v>0</v>
      </c>
      <c r="H12" s="225">
        <f>-Себестоимость!H8</f>
        <v>0</v>
      </c>
      <c r="I12" s="225">
        <f>-Себестоимость!I8</f>
        <v>0</v>
      </c>
      <c r="J12" s="225">
        <f>-Себестоимость!J8</f>
        <v>0</v>
      </c>
      <c r="K12" s="225">
        <f>-Себестоимость!K8</f>
        <v>0</v>
      </c>
      <c r="L12" s="225">
        <f>-Себестоимость!L8</f>
        <v>0</v>
      </c>
      <c r="M12" s="225">
        <f>-Себестоимость!M8</f>
        <v>0</v>
      </c>
      <c r="N12" s="225">
        <f>-Себестоимость!N8</f>
        <v>0</v>
      </c>
      <c r="O12" s="225">
        <f>-Себестоимость!O8</f>
        <v>0</v>
      </c>
      <c r="P12" s="349"/>
      <c r="Q12" s="156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>
      <c r="A13" s="221" t="str">
        <f t="array" aca="1" ref="A13" ca="1">HYPERLINK(CELL("адрес",Ресурсы!A6),"источник")</f>
        <v>источник</v>
      </c>
      <c r="B13" s="206" t="s">
        <v>271</v>
      </c>
      <c r="C13" s="415" t="s">
        <v>19</v>
      </c>
      <c r="D13" s="374">
        <f>SUM(F13:O13)</f>
        <v>0</v>
      </c>
      <c r="E13" s="71"/>
      <c r="F13" s="225">
        <f>-Ресурсы!F6</f>
        <v>0</v>
      </c>
      <c r="G13" s="225">
        <f>-Ресурсы!G6</f>
        <v>0</v>
      </c>
      <c r="H13" s="225">
        <f>-Ресурсы!H6</f>
        <v>0</v>
      </c>
      <c r="I13" s="225">
        <f>-Ресурсы!I6</f>
        <v>0</v>
      </c>
      <c r="J13" s="225">
        <f>-Ресурсы!J6</f>
        <v>0</v>
      </c>
      <c r="K13" s="225">
        <f>-Ресурсы!K6</f>
        <v>0</v>
      </c>
      <c r="L13" s="225">
        <f>-Ресурсы!L6</f>
        <v>0</v>
      </c>
      <c r="M13" s="225">
        <f>-Ресурсы!M6</f>
        <v>0</v>
      </c>
      <c r="N13" s="225">
        <f>-Ресурсы!N6</f>
        <v>0</v>
      </c>
      <c r="O13" s="225">
        <f>-Ресурсы!O6</f>
        <v>0</v>
      </c>
      <c r="P13" s="349"/>
      <c r="Q13" s="156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ht="30">
      <c r="A14" s="221" t="str">
        <f t="array" aca="1" ref="A14" ca="1">HYPERLINK(CELL("адрес",ОбщПрРасходы!A19),"источник")</f>
        <v>источник</v>
      </c>
      <c r="B14" s="206" t="s">
        <v>273</v>
      </c>
      <c r="C14" s="415" t="s">
        <v>19</v>
      </c>
      <c r="D14" s="374">
        <f>SUM(F14:O14)</f>
        <v>0</v>
      </c>
      <c r="E14" s="71"/>
      <c r="F14" s="225">
        <f>-ОбщПрРасходы!F19</f>
        <v>0</v>
      </c>
      <c r="G14" s="225">
        <f>-ОбщПрРасходы!G19</f>
        <v>0</v>
      </c>
      <c r="H14" s="225">
        <f>-ОбщПрРасходы!H19</f>
        <v>0</v>
      </c>
      <c r="I14" s="225">
        <f>-ОбщПрРасходы!I19</f>
        <v>0</v>
      </c>
      <c r="J14" s="225">
        <f>-ОбщПрРасходы!J19</f>
        <v>0</v>
      </c>
      <c r="K14" s="225">
        <f>-ОбщПрРасходы!K19</f>
        <v>0</v>
      </c>
      <c r="L14" s="225">
        <f>-ОбщПрРасходы!L19</f>
        <v>0</v>
      </c>
      <c r="M14" s="225">
        <f>-ОбщПрРасходы!M19</f>
        <v>0</v>
      </c>
      <c r="N14" s="225">
        <f>-ОбщПрРасходы!N19</f>
        <v>0</v>
      </c>
      <c r="O14" s="225">
        <f>-ОбщПрРасходы!O19</f>
        <v>0</v>
      </c>
      <c r="P14" s="349"/>
      <c r="Q14" s="156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>
      <c r="A15" s="221" t="str">
        <f t="array" aca="1" ref="A15" ca="1">HYPERLINK(CELL("адрес",АдмРасходы!A19),"источник")</f>
        <v>источник</v>
      </c>
      <c r="B15" s="206" t="s">
        <v>274</v>
      </c>
      <c r="C15" s="415" t="s">
        <v>19</v>
      </c>
      <c r="D15" s="374">
        <f>SUM(F15:O15)</f>
        <v>0</v>
      </c>
      <c r="E15" s="71"/>
      <c r="F15" s="225">
        <f>-АдмРасходы!F19</f>
        <v>0</v>
      </c>
      <c r="G15" s="225">
        <f>-АдмРасходы!G19</f>
        <v>0</v>
      </c>
      <c r="H15" s="225">
        <f>-АдмРасходы!H19</f>
        <v>0</v>
      </c>
      <c r="I15" s="225">
        <f>-АдмРасходы!I19</f>
        <v>0</v>
      </c>
      <c r="J15" s="225">
        <f>-АдмРасходы!J19</f>
        <v>0</v>
      </c>
      <c r="K15" s="225">
        <f>-АдмРасходы!K19</f>
        <v>0</v>
      </c>
      <c r="L15" s="225">
        <f>-АдмРасходы!L19</f>
        <v>0</v>
      </c>
      <c r="M15" s="225">
        <f>-АдмРасходы!M19</f>
        <v>0</v>
      </c>
      <c r="N15" s="225">
        <f>-АдмРасходы!N19</f>
        <v>0</v>
      </c>
      <c r="O15" s="225">
        <f>-АдмРасходы!O19</f>
        <v>0</v>
      </c>
      <c r="P15" s="349"/>
      <c r="Q15" s="156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>
      <c r="A16" s="665"/>
      <c r="B16" s="666" t="s">
        <v>270</v>
      </c>
      <c r="C16" s="667" t="s">
        <v>19</v>
      </c>
      <c r="D16" s="585">
        <f>SUM(D11:D15)</f>
        <v>77931.453479970573</v>
      </c>
      <c r="E16" s="71"/>
      <c r="F16" s="585">
        <f>SUM(F11:F15)</f>
        <v>5500</v>
      </c>
      <c r="G16" s="585">
        <f t="shared" ref="G16:O16" si="2">SUM(G11:G15)</f>
        <v>6032</v>
      </c>
      <c r="H16" s="585">
        <f t="shared" si="2"/>
        <v>6597.7600000000011</v>
      </c>
      <c r="I16" s="585">
        <f t="shared" si="2"/>
        <v>7424.1024000000025</v>
      </c>
      <c r="J16" s="585">
        <f t="shared" si="2"/>
        <v>7896.545280000003</v>
      </c>
      <c r="K16" s="585">
        <f t="shared" si="2"/>
        <v>8212.4070912000025</v>
      </c>
      <c r="L16" s="585">
        <f t="shared" si="2"/>
        <v>8540.9033748480033</v>
      </c>
      <c r="M16" s="585">
        <f t="shared" si="2"/>
        <v>8882.5395098419231</v>
      </c>
      <c r="N16" s="585">
        <f t="shared" si="2"/>
        <v>9237.841090235599</v>
      </c>
      <c r="O16" s="585">
        <f t="shared" si="2"/>
        <v>9607.3547338450244</v>
      </c>
      <c r="P16" s="348"/>
      <c r="Q16" s="156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>
      <c r="A17" s="89"/>
      <c r="B17" s="89"/>
      <c r="C17" s="664"/>
      <c r="D17" s="89"/>
      <c r="E17" s="71"/>
      <c r="F17" s="89"/>
      <c r="G17" s="146"/>
      <c r="H17" s="146"/>
      <c r="I17" s="146"/>
      <c r="J17" s="146"/>
      <c r="K17" s="146"/>
      <c r="L17" s="146"/>
      <c r="M17" s="146"/>
      <c r="N17" s="146"/>
      <c r="O17" s="146"/>
      <c r="P17" s="71"/>
      <c r="Q17" s="156"/>
    </row>
    <row r="18" spans="1:17">
      <c r="A18" s="146"/>
      <c r="B18" s="365" t="s">
        <v>281</v>
      </c>
      <c r="C18" s="589"/>
      <c r="D18" s="365"/>
      <c r="E18" s="366"/>
      <c r="F18" s="586">
        <f>IFERROR(-SUM(F12:F15)/F11,"-")</f>
        <v>0</v>
      </c>
      <c r="G18" s="586">
        <f t="shared" ref="G18:O18" si="3">IFERROR(-SUM(G12:G15)/G11,"-")</f>
        <v>0</v>
      </c>
      <c r="H18" s="586">
        <f t="shared" si="3"/>
        <v>0</v>
      </c>
      <c r="I18" s="586">
        <f t="shared" si="3"/>
        <v>0</v>
      </c>
      <c r="J18" s="586">
        <f t="shared" si="3"/>
        <v>0</v>
      </c>
      <c r="K18" s="586">
        <f t="shared" si="3"/>
        <v>0</v>
      </c>
      <c r="L18" s="586">
        <f t="shared" si="3"/>
        <v>0</v>
      </c>
      <c r="M18" s="586">
        <f t="shared" si="3"/>
        <v>0</v>
      </c>
      <c r="N18" s="586">
        <f t="shared" si="3"/>
        <v>0</v>
      </c>
      <c r="O18" s="586">
        <f t="shared" si="3"/>
        <v>0</v>
      </c>
      <c r="P18" s="683"/>
      <c r="Q18" s="156"/>
    </row>
    <row r="19" spans="1:17">
      <c r="A19" s="146"/>
      <c r="B19" s="365" t="s">
        <v>280</v>
      </c>
      <c r="C19" s="192"/>
      <c r="D19" s="146"/>
      <c r="E19" s="71"/>
      <c r="F19" s="586">
        <f>IFERROR(F16/F11,"-")</f>
        <v>1</v>
      </c>
      <c r="G19" s="586">
        <f>IFERROR(G16/G11,"-")</f>
        <v>1</v>
      </c>
      <c r="H19" s="586">
        <f>IFERROR(H16/H11,"-")</f>
        <v>1</v>
      </c>
      <c r="I19" s="586">
        <f t="shared" ref="I19:O19" si="4">IFERROR(I16/I11,"-")</f>
        <v>1</v>
      </c>
      <c r="J19" s="586">
        <f t="shared" si="4"/>
        <v>1</v>
      </c>
      <c r="K19" s="586">
        <f t="shared" si="4"/>
        <v>1</v>
      </c>
      <c r="L19" s="586">
        <f t="shared" si="4"/>
        <v>1</v>
      </c>
      <c r="M19" s="586">
        <f t="shared" si="4"/>
        <v>1</v>
      </c>
      <c r="N19" s="586">
        <f t="shared" si="4"/>
        <v>1</v>
      </c>
      <c r="O19" s="586">
        <f t="shared" si="4"/>
        <v>1</v>
      </c>
      <c r="P19" s="683"/>
      <c r="Q19" s="156"/>
    </row>
    <row r="20" spans="1:17">
      <c r="A20" s="146"/>
      <c r="B20" s="146"/>
      <c r="C20" s="192"/>
      <c r="D20" s="146"/>
      <c r="E20" s="71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71"/>
      <c r="Q20" s="156"/>
    </row>
    <row r="21" spans="1:17">
      <c r="A21" s="146"/>
      <c r="B21" s="574"/>
      <c r="C21" s="192"/>
      <c r="D21" s="146"/>
      <c r="E21" s="71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71"/>
      <c r="Q21" s="71"/>
    </row>
    <row r="22" spans="1:17">
      <c r="A22" s="146"/>
      <c r="B22" s="574"/>
      <c r="C22" s="192"/>
      <c r="D22" s="146"/>
      <c r="E22" s="71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71"/>
      <c r="Q22" s="71"/>
    </row>
    <row r="23" spans="1:17">
      <c r="A23" s="146"/>
      <c r="B23" s="169" t="str">
        <f t="array" aca="1" ref="B23" ca="1">HYPERLINK(CELL("адрес",БДР!$A$1),"Перейти на лист БДР")</f>
        <v>Перейти на лист БДР</v>
      </c>
      <c r="C23" s="192"/>
      <c r="D23" s="146"/>
      <c r="E23" s="71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71"/>
      <c r="Q23" s="71"/>
    </row>
    <row r="24" spans="1:17">
      <c r="A24" s="146"/>
      <c r="B24" s="169" t="str">
        <f t="array" aca="1" ref="B24" ca="1">HYPERLINK(CELL("адрес",БДДС!$A$1),"Перейти на лист БДДС")</f>
        <v>Перейти на лист БДДС</v>
      </c>
      <c r="C24" s="192"/>
      <c r="D24" s="146"/>
      <c r="E24" s="71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71"/>
      <c r="Q24" s="71"/>
    </row>
    <row r="25" spans="1:17">
      <c r="A25" s="146"/>
      <c r="B25" s="169" t="str">
        <f t="array" aca="1" ref="B25" ca="1">HYPERLINK(CELL("адрес",Баланс!$A$1),"Перейти на лист Баланс")</f>
        <v>Перейти на лист Баланс</v>
      </c>
      <c r="C25" s="192"/>
      <c r="D25" s="146"/>
      <c r="E25" s="71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71"/>
      <c r="Q25" s="71"/>
    </row>
    <row r="26" spans="1:17">
      <c r="A26" s="146"/>
      <c r="B26" s="169" t="str">
        <f t="array" aca="1" ref="B26" ca="1">HYPERLINK(CELL("адрес",Дашборд_ИтогТабл!$A$1),"Перейти на лист Дашборд_1")</f>
        <v>Перейти на лист Дашборд_1</v>
      </c>
      <c r="C26" s="192"/>
      <c r="D26" s="146"/>
      <c r="E26" s="71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71"/>
      <c r="Q26" s="71"/>
    </row>
    <row r="27" spans="1:17" ht="30">
      <c r="A27" s="146"/>
      <c r="B27" s="169" t="str">
        <f t="array" aca="1" ref="B27" ca="1">HYPERLINK(CELL("адрес",Дашборд_Основной!$A$1),"Перейти на лист Дашборд_Общий")</f>
        <v>Перейти на лист Дашборд_Общий</v>
      </c>
      <c r="C27" s="192"/>
      <c r="D27" s="146"/>
      <c r="E27" s="71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71"/>
      <c r="Q27" s="71"/>
    </row>
    <row r="28" spans="1:17" ht="30">
      <c r="A28" s="146"/>
      <c r="B28" s="169" t="str">
        <f t="array" aca="1" ref="B28" ca="1">HYPERLINK(CELL("адрес",Дашборд_налоги!$A$1),"Перейти на лист Дашборд_Налоги")</f>
        <v>Перейти на лист Дашборд_Налоги</v>
      </c>
      <c r="C28" s="192"/>
      <c r="D28" s="146"/>
      <c r="E28" s="71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71"/>
      <c r="Q28" s="71"/>
    </row>
    <row r="29" spans="1:17">
      <c r="B29" s="2"/>
    </row>
    <row r="30" spans="1:17">
      <c r="B30" s="2"/>
    </row>
  </sheetData>
  <hyperlinks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theme="9" tint="0.59999389629810485"/>
    <outlinePr summaryRight="0"/>
    <pageSetUpPr fitToPage="1"/>
  </sheetPr>
  <dimension ref="A1:AD47"/>
  <sheetViews>
    <sheetView zoomScale="115" zoomScaleNormal="115" workbookViewId="0">
      <pane xSplit="4" ySplit="4" topLeftCell="E5" activePane="bottomRight" state="frozen"/>
      <selection pane="topRight"/>
      <selection pane="bottomLeft"/>
      <selection pane="bottomRight" activeCell="I13" sqref="I13"/>
    </sheetView>
  </sheetViews>
  <sheetFormatPr defaultRowHeight="15" outlineLevelCol="1"/>
  <cols>
    <col min="1" max="1" width="11.5703125" customWidth="1"/>
    <col min="2" max="2" width="27.7109375" customWidth="1"/>
    <col min="3" max="3" width="11" style="14" customWidth="1"/>
    <col min="4" max="4" width="11" customWidth="1"/>
    <col min="5" max="5" width="2.28515625" customWidth="1"/>
    <col min="16" max="16" width="1.710937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32.25">
      <c r="A1" s="651" t="s">
        <v>282</v>
      </c>
      <c r="B1" s="71"/>
      <c r="C1" s="367"/>
      <c r="D1" s="71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354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>
      <c r="A2" s="71" t="str">
        <f>Паспорт_ФМ_резидент!B7</f>
        <v>Разработка, производство, модернизация и реализация …</v>
      </c>
      <c r="B2" s="71"/>
      <c r="C2" s="367"/>
      <c r="D2" s="71"/>
      <c r="E2" s="71"/>
      <c r="F2" s="347">
        <v>1</v>
      </c>
      <c r="G2" s="347">
        <v>2</v>
      </c>
      <c r="H2" s="347">
        <v>3</v>
      </c>
      <c r="I2" s="347">
        <v>4</v>
      </c>
      <c r="J2" s="347">
        <v>5</v>
      </c>
      <c r="K2" s="347">
        <v>6</v>
      </c>
      <c r="L2" s="347">
        <v>7</v>
      </c>
      <c r="M2" s="347">
        <v>8</v>
      </c>
      <c r="N2" s="347">
        <v>9</v>
      </c>
      <c r="O2" s="347">
        <v>10</v>
      </c>
      <c r="P2" s="355"/>
      <c r="Q2" s="156"/>
      <c r="R2" s="355">
        <v>11</v>
      </c>
      <c r="S2" s="347">
        <f>R2+1</f>
        <v>12</v>
      </c>
      <c r="T2" s="347">
        <f>S2+1</f>
        <v>13</v>
      </c>
      <c r="U2" s="347">
        <f t="shared" ref="U2:AA3" si="0">T2+1</f>
        <v>14</v>
      </c>
      <c r="V2" s="347">
        <f t="shared" si="0"/>
        <v>15</v>
      </c>
      <c r="W2" s="347">
        <f t="shared" si="0"/>
        <v>16</v>
      </c>
      <c r="X2" s="347">
        <f t="shared" si="0"/>
        <v>17</v>
      </c>
      <c r="Y2" s="347">
        <f t="shared" si="0"/>
        <v>18</v>
      </c>
      <c r="Z2" s="347">
        <f t="shared" si="0"/>
        <v>19</v>
      </c>
      <c r="AA2" s="347">
        <f t="shared" si="0"/>
        <v>20</v>
      </c>
      <c r="AB2" s="71"/>
      <c r="AC2" s="71"/>
      <c r="AD2" s="71"/>
    </row>
    <row r="3" spans="1:30" s="18" customFormat="1" ht="28.5">
      <c r="A3" s="78" t="s">
        <v>2</v>
      </c>
      <c r="B3" s="78" t="s">
        <v>3</v>
      </c>
      <c r="C3" s="127" t="s">
        <v>12</v>
      </c>
      <c r="D3" s="194" t="str">
        <f>CONCATENATE("Итого ",F3,"-",O3)</f>
        <v>Итого 2024-2033</v>
      </c>
      <c r="E3" s="152"/>
      <c r="F3" s="766">
        <v>2024</v>
      </c>
      <c r="G3" s="127">
        <f>F3+1</f>
        <v>2025</v>
      </c>
      <c r="H3" s="127">
        <f t="shared" ref="H3:O3" si="1">G3+1</f>
        <v>2026</v>
      </c>
      <c r="I3" s="127">
        <f t="shared" si="1"/>
        <v>2027</v>
      </c>
      <c r="J3" s="127">
        <f t="shared" si="1"/>
        <v>2028</v>
      </c>
      <c r="K3" s="127">
        <f t="shared" si="1"/>
        <v>2029</v>
      </c>
      <c r="L3" s="127">
        <f t="shared" si="1"/>
        <v>2030</v>
      </c>
      <c r="M3" s="127">
        <f t="shared" si="1"/>
        <v>2031</v>
      </c>
      <c r="N3" s="127">
        <f t="shared" si="1"/>
        <v>2032</v>
      </c>
      <c r="O3" s="127">
        <f t="shared" si="1"/>
        <v>2033</v>
      </c>
      <c r="P3" s="671"/>
      <c r="Q3" s="157"/>
      <c r="R3" s="160">
        <v>2035</v>
      </c>
      <c r="S3" s="160">
        <f>R3+1</f>
        <v>2036</v>
      </c>
      <c r="T3" s="160">
        <f>S3+1</f>
        <v>2037</v>
      </c>
      <c r="U3" s="160">
        <f t="shared" si="0"/>
        <v>2038</v>
      </c>
      <c r="V3" s="160">
        <f t="shared" si="0"/>
        <v>2039</v>
      </c>
      <c r="W3" s="160">
        <f t="shared" si="0"/>
        <v>2040</v>
      </c>
      <c r="X3" s="160">
        <f t="shared" si="0"/>
        <v>2041</v>
      </c>
      <c r="Y3" s="160">
        <f t="shared" si="0"/>
        <v>2042</v>
      </c>
      <c r="Z3" s="160">
        <f t="shared" si="0"/>
        <v>2043</v>
      </c>
      <c r="AA3" s="160">
        <f t="shared" si="0"/>
        <v>2044</v>
      </c>
      <c r="AB3" s="152"/>
      <c r="AC3" s="152"/>
      <c r="AD3" s="152"/>
    </row>
    <row r="4" spans="1:30" ht="8.1" customHeight="1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6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>
      <c r="A5" s="236"/>
      <c r="B5" s="206"/>
      <c r="C5" s="370"/>
      <c r="D5" s="146"/>
      <c r="E5" s="71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349"/>
      <c r="Q5" s="156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ht="45">
      <c r="A6" s="221" t="str">
        <f t="array" aca="1" ref="A6" ca="1">HYPERLINK(CELL("адрес",БДРбезЛьгот!A25),"источник")</f>
        <v>источник</v>
      </c>
      <c r="B6" s="206" t="s">
        <v>307</v>
      </c>
      <c r="C6" s="238" t="s">
        <v>19</v>
      </c>
      <c r="D6" s="374">
        <f ca="1">SUM(F6:O6)</f>
        <v>51536.980087306642</v>
      </c>
      <c r="E6" s="71"/>
      <c r="F6" s="225">
        <f ca="1">БДРбезЛьгот!F25</f>
        <v>-6026</v>
      </c>
      <c r="G6" s="225">
        <f ca="1">БДРбезЛьгот!G25</f>
        <v>-2908.2560000000012</v>
      </c>
      <c r="H6" s="225">
        <f ca="1">БДРбезЛьгот!H25</f>
        <v>1537.3296640000135</v>
      </c>
      <c r="I6" s="225">
        <f ca="1">БДРбезЛьгот!I25</f>
        <v>7454.5420451840446</v>
      </c>
      <c r="J6" s="225">
        <f ca="1">БДРбезЛьгот!J25</f>
        <v>10318.800572514336</v>
      </c>
      <c r="K6" s="225">
        <f ca="1">БДРбезЛьгот!K25</f>
        <v>9735.2178262071211</v>
      </c>
      <c r="L6" s="225">
        <f ca="1">БДРбезЛьгот!L25</f>
        <v>9072.4970229719911</v>
      </c>
      <c r="M6" s="225">
        <f ca="1">БДРбезЛьгот!M25</f>
        <v>8324.3481346955741</v>
      </c>
      <c r="N6" s="225">
        <f ca="1">БДРбезЛьгот!N25</f>
        <v>7484.0545598131812</v>
      </c>
      <c r="O6" s="225">
        <f ca="1">БДРбезЛьгот!O25</f>
        <v>6544.4462619203878</v>
      </c>
      <c r="P6" s="349"/>
      <c r="Q6" s="156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>
      <c r="A7" s="236"/>
      <c r="B7" s="206"/>
      <c r="C7" s="370"/>
      <c r="D7" s="146"/>
      <c r="E7" s="71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349"/>
      <c r="Q7" s="156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>
      <c r="A8" s="570" t="s">
        <v>732</v>
      </c>
      <c r="B8" s="572"/>
      <c r="C8" s="575"/>
      <c r="D8" s="575"/>
      <c r="E8" s="7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349"/>
      <c r="Q8" s="156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>
      <c r="A9" s="236"/>
      <c r="B9" s="206"/>
      <c r="C9" s="370"/>
      <c r="D9" s="146"/>
      <c r="E9" s="71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349"/>
      <c r="Q9" s="156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ht="29.25">
      <c r="A10" s="221" t="str">
        <f t="array" aca="1" ref="A10" ca="1">HYPERLINK(CELL("адрес",Макро!A33),"источник")</f>
        <v>источник</v>
      </c>
      <c r="B10" s="178" t="s">
        <v>575</v>
      </c>
      <c r="C10" s="189" t="s">
        <v>27</v>
      </c>
      <c r="D10" s="146"/>
      <c r="E10" s="71"/>
      <c r="F10" s="430">
        <f>SUM(F11:F12)</f>
        <v>0</v>
      </c>
      <c r="G10" s="430">
        <f t="shared" ref="G10:O10" si="2">SUM(G11:G12)</f>
        <v>0</v>
      </c>
      <c r="H10" s="430">
        <f t="shared" si="2"/>
        <v>0</v>
      </c>
      <c r="I10" s="430">
        <f t="shared" si="2"/>
        <v>0</v>
      </c>
      <c r="J10" s="430">
        <f t="shared" si="2"/>
        <v>0</v>
      </c>
      <c r="K10" s="430">
        <f t="shared" si="2"/>
        <v>0</v>
      </c>
      <c r="L10" s="430">
        <f t="shared" si="2"/>
        <v>0</v>
      </c>
      <c r="M10" s="430">
        <f t="shared" si="2"/>
        <v>0</v>
      </c>
      <c r="N10" s="430">
        <f t="shared" si="2"/>
        <v>0</v>
      </c>
      <c r="O10" s="430">
        <f t="shared" si="2"/>
        <v>0</v>
      </c>
      <c r="P10" s="684"/>
      <c r="Q10" s="156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>
      <c r="A11" s="221"/>
      <c r="B11" s="173" t="s">
        <v>576</v>
      </c>
      <c r="C11" s="186" t="s">
        <v>27</v>
      </c>
      <c r="D11" s="146"/>
      <c r="E11" s="71"/>
      <c r="F11" s="430">
        <f>Макро!F34</f>
        <v>0</v>
      </c>
      <c r="G11" s="430">
        <f>Макро!G34</f>
        <v>0</v>
      </c>
      <c r="H11" s="430">
        <f>Макро!H34</f>
        <v>0</v>
      </c>
      <c r="I11" s="430">
        <f>Макро!I34</f>
        <v>0</v>
      </c>
      <c r="J11" s="430">
        <f>Макро!J34</f>
        <v>0</v>
      </c>
      <c r="K11" s="430">
        <f>Макро!K34</f>
        <v>0</v>
      </c>
      <c r="L11" s="430">
        <f>Макро!L34</f>
        <v>0</v>
      </c>
      <c r="M11" s="430">
        <f>Макро!M34</f>
        <v>0</v>
      </c>
      <c r="N11" s="430">
        <f>Макро!N34</f>
        <v>0</v>
      </c>
      <c r="O11" s="430">
        <f>Макро!O34</f>
        <v>0</v>
      </c>
      <c r="P11" s="684"/>
      <c r="Q11" s="156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>
      <c r="A12" s="221"/>
      <c r="B12" s="173" t="s">
        <v>577</v>
      </c>
      <c r="C12" s="186" t="s">
        <v>27</v>
      </c>
      <c r="D12" s="146"/>
      <c r="E12" s="71"/>
      <c r="F12" s="430">
        <f>Макро!F35</f>
        <v>0</v>
      </c>
      <c r="G12" s="430">
        <f>Макро!G35</f>
        <v>0</v>
      </c>
      <c r="H12" s="430">
        <f>Макро!H35</f>
        <v>0</v>
      </c>
      <c r="I12" s="430">
        <f>Макро!I35</f>
        <v>0</v>
      </c>
      <c r="J12" s="430">
        <f>Макро!J35</f>
        <v>0</v>
      </c>
      <c r="K12" s="430">
        <f>Макро!K35</f>
        <v>0</v>
      </c>
      <c r="L12" s="430">
        <f>Макро!L35</f>
        <v>0</v>
      </c>
      <c r="M12" s="430">
        <f>Макро!M35</f>
        <v>0</v>
      </c>
      <c r="N12" s="430">
        <f>Макро!N35</f>
        <v>0</v>
      </c>
      <c r="O12" s="430">
        <f>Макро!O35</f>
        <v>0</v>
      </c>
      <c r="P12" s="684"/>
      <c r="Q12" s="156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>
      <c r="A13" s="221"/>
      <c r="B13" s="206"/>
      <c r="C13" s="186"/>
      <c r="D13" s="146"/>
      <c r="E13" s="71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684"/>
      <c r="Q13" s="156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ht="9.4" customHeight="1">
      <c r="A14" s="221"/>
      <c r="B14" s="206"/>
      <c r="C14" s="186"/>
      <c r="D14" s="146"/>
      <c r="E14" s="71"/>
      <c r="F14" s="430"/>
      <c r="G14" s="430"/>
      <c r="H14" s="430"/>
      <c r="I14" s="430"/>
      <c r="J14" s="430"/>
      <c r="K14" s="430"/>
      <c r="L14" s="430"/>
      <c r="M14" s="430"/>
      <c r="N14" s="430"/>
      <c r="O14" s="430"/>
      <c r="P14" s="684"/>
      <c r="Q14" s="156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ht="42.75">
      <c r="A15" s="236"/>
      <c r="B15" s="591" t="s">
        <v>588</v>
      </c>
      <c r="C15" s="238" t="s">
        <v>19</v>
      </c>
      <c r="D15" s="374">
        <f ca="1">SUM(F15:O15)</f>
        <v>0</v>
      </c>
      <c r="E15" s="71"/>
      <c r="F15" s="374">
        <f ca="1">SUM(F16:F17)</f>
        <v>0</v>
      </c>
      <c r="G15" s="374">
        <f t="shared" ref="G15:O15" ca="1" si="3">SUM(G16:G17)</f>
        <v>0</v>
      </c>
      <c r="H15" s="374">
        <f t="shared" ca="1" si="3"/>
        <v>0</v>
      </c>
      <c r="I15" s="374">
        <f t="shared" ca="1" si="3"/>
        <v>0</v>
      </c>
      <c r="J15" s="374">
        <f t="shared" ca="1" si="3"/>
        <v>0</v>
      </c>
      <c r="K15" s="374">
        <f t="shared" ca="1" si="3"/>
        <v>0</v>
      </c>
      <c r="L15" s="374">
        <f t="shared" ca="1" si="3"/>
        <v>0</v>
      </c>
      <c r="M15" s="374">
        <f t="shared" ca="1" si="3"/>
        <v>0</v>
      </c>
      <c r="N15" s="374">
        <f t="shared" ca="1" si="3"/>
        <v>0</v>
      </c>
      <c r="O15" s="374">
        <f t="shared" ca="1" si="3"/>
        <v>0</v>
      </c>
      <c r="P15" s="348"/>
      <c r="Q15" s="156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>
      <c r="A16" s="236"/>
      <c r="B16" s="173" t="s">
        <v>576</v>
      </c>
      <c r="C16" s="238" t="s">
        <v>19</v>
      </c>
      <c r="D16" s="374">
        <f ca="1">SUM(F16:O16)</f>
        <v>0</v>
      </c>
      <c r="E16" s="71"/>
      <c r="F16" s="225">
        <f t="shared" ref="F16:O16" ca="1" si="4">F6*F11</f>
        <v>0</v>
      </c>
      <c r="G16" s="225">
        <f t="shared" ca="1" si="4"/>
        <v>0</v>
      </c>
      <c r="H16" s="225">
        <f t="shared" ca="1" si="4"/>
        <v>0</v>
      </c>
      <c r="I16" s="225">
        <f t="shared" ca="1" si="4"/>
        <v>0</v>
      </c>
      <c r="J16" s="225">
        <f t="shared" ca="1" si="4"/>
        <v>0</v>
      </c>
      <c r="K16" s="225">
        <f t="shared" ca="1" si="4"/>
        <v>0</v>
      </c>
      <c r="L16" s="225">
        <f t="shared" ca="1" si="4"/>
        <v>0</v>
      </c>
      <c r="M16" s="225">
        <f t="shared" ca="1" si="4"/>
        <v>0</v>
      </c>
      <c r="N16" s="225">
        <f t="shared" ca="1" si="4"/>
        <v>0</v>
      </c>
      <c r="O16" s="225">
        <f t="shared" ca="1" si="4"/>
        <v>0</v>
      </c>
      <c r="P16" s="349"/>
      <c r="Q16" s="156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>
      <c r="A17" s="236"/>
      <c r="B17" s="173" t="s">
        <v>577</v>
      </c>
      <c r="C17" s="238" t="s">
        <v>19</v>
      </c>
      <c r="D17" s="374">
        <f ca="1">SUM(F17:O17)</f>
        <v>0</v>
      </c>
      <c r="E17" s="71"/>
      <c r="F17" s="225">
        <f t="shared" ref="F17:O17" ca="1" si="5">F6*F12</f>
        <v>0</v>
      </c>
      <c r="G17" s="225">
        <f t="shared" ca="1" si="5"/>
        <v>0</v>
      </c>
      <c r="H17" s="225">
        <f t="shared" ca="1" si="5"/>
        <v>0</v>
      </c>
      <c r="I17" s="225">
        <f t="shared" ca="1" si="5"/>
        <v>0</v>
      </c>
      <c r="J17" s="225">
        <f t="shared" ca="1" si="5"/>
        <v>0</v>
      </c>
      <c r="K17" s="225">
        <f t="shared" ca="1" si="5"/>
        <v>0</v>
      </c>
      <c r="L17" s="225">
        <f t="shared" ca="1" si="5"/>
        <v>0</v>
      </c>
      <c r="M17" s="225">
        <f t="shared" ca="1" si="5"/>
        <v>0</v>
      </c>
      <c r="N17" s="225">
        <f t="shared" ca="1" si="5"/>
        <v>0</v>
      </c>
      <c r="O17" s="225">
        <f t="shared" ca="1" si="5"/>
        <v>0</v>
      </c>
      <c r="P17" s="349"/>
      <c r="Q17" s="156"/>
    </row>
    <row r="18" spans="1:17">
      <c r="A18" s="236"/>
      <c r="B18" s="206"/>
      <c r="C18" s="370"/>
      <c r="D18" s="146"/>
      <c r="E18" s="71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349"/>
      <c r="Q18" s="156"/>
    </row>
    <row r="19" spans="1:17">
      <c r="A19" s="236"/>
      <c r="B19" s="206"/>
      <c r="C19" s="370"/>
      <c r="D19" s="146"/>
      <c r="E19" s="71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349"/>
      <c r="Q19" s="156"/>
    </row>
    <row r="20" spans="1:17" ht="45">
      <c r="A20" s="221" t="str">
        <f t="array" aca="1" ref="A20" ca="1">HYPERLINK(CELL("адрес",БДР!A25),"источник")</f>
        <v>источник</v>
      </c>
      <c r="B20" s="206" t="s">
        <v>306</v>
      </c>
      <c r="C20" s="370"/>
      <c r="D20" s="374">
        <f ca="1">SUM(F20:O20)</f>
        <v>163153.24653028321</v>
      </c>
      <c r="E20" s="71"/>
      <c r="F20" s="225">
        <f ca="1">БДР!F25</f>
        <v>2602.4799999999959</v>
      </c>
      <c r="G20" s="225">
        <f ca="1">БДР!G25</f>
        <v>6203.4188800000047</v>
      </c>
      <c r="H20" s="225">
        <f ca="1">БДР!H25</f>
        <v>11159.258337280009</v>
      </c>
      <c r="I20" s="225">
        <f ca="1">БДР!I25</f>
        <v>17615.298724167722</v>
      </c>
      <c r="J20" s="225">
        <f ca="1">БДР!J25</f>
        <v>21048.559625521113</v>
      </c>
      <c r="K20" s="225">
        <f ca="1">БДР!K25</f>
        <v>21065.843386182274</v>
      </c>
      <c r="L20" s="225">
        <f ca="1">БДР!L25</f>
        <v>21037.63761430575</v>
      </c>
      <c r="M20" s="225">
        <f ca="1">БДР!M25</f>
        <v>20959.536599144034</v>
      </c>
      <c r="N20" s="225">
        <f ca="1">БДР!N25</f>
        <v>20826.81357827074</v>
      </c>
      <c r="O20" s="225">
        <f ca="1">БДР!O25</f>
        <v>20634.399785411562</v>
      </c>
      <c r="P20" s="349"/>
      <c r="Q20" s="156"/>
    </row>
    <row r="21" spans="1:17">
      <c r="A21" s="570" t="s">
        <v>733</v>
      </c>
      <c r="B21" s="572"/>
      <c r="C21" s="575"/>
      <c r="D21" s="575"/>
      <c r="E21" s="71"/>
      <c r="F21" s="431"/>
      <c r="G21" s="431"/>
      <c r="H21" s="431"/>
      <c r="I21" s="431"/>
      <c r="J21" s="431"/>
      <c r="K21" s="431"/>
      <c r="L21" s="431"/>
      <c r="M21" s="431"/>
      <c r="N21" s="431"/>
      <c r="O21" s="431"/>
      <c r="P21" s="349"/>
      <c r="Q21" s="156"/>
    </row>
    <row r="22" spans="1:17" ht="7.9" customHeight="1">
      <c r="A22" s="221"/>
      <c r="B22" s="206"/>
      <c r="C22" s="370"/>
      <c r="D22" s="374"/>
      <c r="E22" s="71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349"/>
      <c r="Q22" s="156"/>
    </row>
    <row r="23" spans="1:17" ht="29.25">
      <c r="A23" s="221" t="str">
        <f t="array" aca="1" ref="A23" ca="1">HYPERLINK(CELL("адрес",Макро!A37),"источник")</f>
        <v>источник</v>
      </c>
      <c r="B23" s="178" t="s">
        <v>575</v>
      </c>
      <c r="C23" s="186" t="s">
        <v>27</v>
      </c>
      <c r="D23" s="146"/>
      <c r="E23" s="71"/>
      <c r="F23" s="430">
        <f>SUM(F24:F25)</f>
        <v>0</v>
      </c>
      <c r="G23" s="430">
        <f t="shared" ref="G23:O23" si="6">SUM(G24:G25)</f>
        <v>0</v>
      </c>
      <c r="H23" s="430">
        <f t="shared" si="6"/>
        <v>0</v>
      </c>
      <c r="I23" s="430">
        <f t="shared" si="6"/>
        <v>0</v>
      </c>
      <c r="J23" s="430">
        <f t="shared" si="6"/>
        <v>0</v>
      </c>
      <c r="K23" s="430">
        <f t="shared" si="6"/>
        <v>0</v>
      </c>
      <c r="L23" s="430">
        <f t="shared" si="6"/>
        <v>0</v>
      </c>
      <c r="M23" s="430">
        <f t="shared" si="6"/>
        <v>0</v>
      </c>
      <c r="N23" s="430">
        <f t="shared" si="6"/>
        <v>0</v>
      </c>
      <c r="O23" s="430">
        <f t="shared" si="6"/>
        <v>0</v>
      </c>
      <c r="P23" s="684"/>
      <c r="Q23" s="156"/>
    </row>
    <row r="24" spans="1:17">
      <c r="A24" s="221"/>
      <c r="B24" s="173" t="s">
        <v>576</v>
      </c>
      <c r="C24" s="186" t="s">
        <v>27</v>
      </c>
      <c r="D24" s="146"/>
      <c r="E24" s="71"/>
      <c r="F24" s="430">
        <f>Макро!F38</f>
        <v>0</v>
      </c>
      <c r="G24" s="430">
        <f>Макро!G38</f>
        <v>0</v>
      </c>
      <c r="H24" s="430">
        <f>Макро!H38</f>
        <v>0</v>
      </c>
      <c r="I24" s="430">
        <f>Макро!I38</f>
        <v>0</v>
      </c>
      <c r="J24" s="430">
        <f>Макро!J38</f>
        <v>0</v>
      </c>
      <c r="K24" s="430">
        <f>Макро!K38</f>
        <v>0</v>
      </c>
      <c r="L24" s="430">
        <f>Макро!L38</f>
        <v>0</v>
      </c>
      <c r="M24" s="430">
        <f>Макро!M38</f>
        <v>0</v>
      </c>
      <c r="N24" s="430">
        <f>Макро!N38</f>
        <v>0</v>
      </c>
      <c r="O24" s="430">
        <f>Макро!O38</f>
        <v>0</v>
      </c>
      <c r="P24" s="684"/>
      <c r="Q24" s="156"/>
    </row>
    <row r="25" spans="1:17">
      <c r="A25" s="221"/>
      <c r="B25" s="173" t="s">
        <v>577</v>
      </c>
      <c r="C25" s="186" t="s">
        <v>27</v>
      </c>
      <c r="D25" s="146"/>
      <c r="E25" s="71"/>
      <c r="F25" s="430">
        <f>Макро!F39</f>
        <v>0</v>
      </c>
      <c r="G25" s="430">
        <f>Макро!G39</f>
        <v>0</v>
      </c>
      <c r="H25" s="430">
        <f>Макро!H39</f>
        <v>0</v>
      </c>
      <c r="I25" s="430">
        <f>Макро!I39</f>
        <v>0</v>
      </c>
      <c r="J25" s="430">
        <f>Макро!J39</f>
        <v>0</v>
      </c>
      <c r="K25" s="430">
        <f>Макро!K39</f>
        <v>0</v>
      </c>
      <c r="L25" s="430">
        <f>Макро!L39</f>
        <v>0</v>
      </c>
      <c r="M25" s="430">
        <f>Макро!M39</f>
        <v>0</v>
      </c>
      <c r="N25" s="430">
        <f>Макро!N39</f>
        <v>0</v>
      </c>
      <c r="O25" s="430">
        <f>Макро!O39</f>
        <v>0</v>
      </c>
      <c r="P25" s="684"/>
      <c r="Q25" s="156"/>
    </row>
    <row r="26" spans="1:17">
      <c r="A26" s="221"/>
      <c r="B26" s="173"/>
      <c r="C26" s="186"/>
      <c r="D26" s="146"/>
      <c r="E26" s="71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684"/>
      <c r="Q26" s="156"/>
    </row>
    <row r="27" spans="1:17" ht="42.75">
      <c r="A27" s="590">
        <f ca="1">ROUND(D27/1000,2)</f>
        <v>0</v>
      </c>
      <c r="B27" s="591" t="s">
        <v>589</v>
      </c>
      <c r="C27" s="238" t="s">
        <v>19</v>
      </c>
      <c r="D27" s="374">
        <f ca="1">SUM(F27:O27)</f>
        <v>0</v>
      </c>
      <c r="E27" s="71"/>
      <c r="F27" s="374">
        <f ca="1">SUM(F28:F29)</f>
        <v>0</v>
      </c>
      <c r="G27" s="374">
        <f t="shared" ref="G27:O27" ca="1" si="7">SUM(G28:G29)</f>
        <v>0</v>
      </c>
      <c r="H27" s="374">
        <f t="shared" ca="1" si="7"/>
        <v>0</v>
      </c>
      <c r="I27" s="374">
        <f t="shared" ca="1" si="7"/>
        <v>0</v>
      </c>
      <c r="J27" s="374">
        <f t="shared" ca="1" si="7"/>
        <v>0</v>
      </c>
      <c r="K27" s="374">
        <f t="shared" ca="1" si="7"/>
        <v>0</v>
      </c>
      <c r="L27" s="374">
        <f t="shared" ca="1" si="7"/>
        <v>0</v>
      </c>
      <c r="M27" s="374">
        <f t="shared" ca="1" si="7"/>
        <v>0</v>
      </c>
      <c r="N27" s="374">
        <f t="shared" ca="1" si="7"/>
        <v>0</v>
      </c>
      <c r="O27" s="374">
        <f t="shared" ca="1" si="7"/>
        <v>0</v>
      </c>
      <c r="P27" s="348"/>
      <c r="Q27" s="156"/>
    </row>
    <row r="28" spans="1:17">
      <c r="A28" s="590">
        <f ca="1">ROUND(D28/1000,2)</f>
        <v>0</v>
      </c>
      <c r="B28" s="173" t="s">
        <v>754</v>
      </c>
      <c r="C28" s="238" t="s">
        <v>19</v>
      </c>
      <c r="D28" s="374">
        <f ca="1">SUM(F28:O28)</f>
        <v>0</v>
      </c>
      <c r="E28" s="71"/>
      <c r="F28" s="225">
        <f t="shared" ref="F28:O28" ca="1" si="8">F20*F24</f>
        <v>0</v>
      </c>
      <c r="G28" s="225">
        <f t="shared" ca="1" si="8"/>
        <v>0</v>
      </c>
      <c r="H28" s="225">
        <f t="shared" ca="1" si="8"/>
        <v>0</v>
      </c>
      <c r="I28" s="225">
        <f t="shared" ca="1" si="8"/>
        <v>0</v>
      </c>
      <c r="J28" s="225">
        <f t="shared" ca="1" si="8"/>
        <v>0</v>
      </c>
      <c r="K28" s="225">
        <f t="shared" ca="1" si="8"/>
        <v>0</v>
      </c>
      <c r="L28" s="225">
        <f t="shared" ca="1" si="8"/>
        <v>0</v>
      </c>
      <c r="M28" s="225">
        <f t="shared" ca="1" si="8"/>
        <v>0</v>
      </c>
      <c r="N28" s="225">
        <f t="shared" ca="1" si="8"/>
        <v>0</v>
      </c>
      <c r="O28" s="225">
        <f t="shared" ca="1" si="8"/>
        <v>0</v>
      </c>
      <c r="P28" s="349"/>
      <c r="Q28" s="156"/>
    </row>
    <row r="29" spans="1:17">
      <c r="A29" s="590">
        <f ca="1">ROUND(D29/1000,2)</f>
        <v>0</v>
      </c>
      <c r="B29" s="173" t="s">
        <v>755</v>
      </c>
      <c r="C29" s="238" t="s">
        <v>19</v>
      </c>
      <c r="D29" s="374">
        <f ca="1">SUM(F29:O29)</f>
        <v>0</v>
      </c>
      <c r="E29" s="71"/>
      <c r="F29" s="225">
        <f t="shared" ref="F29:O29" ca="1" si="9">F20*F25</f>
        <v>0</v>
      </c>
      <c r="G29" s="225">
        <f t="shared" ca="1" si="9"/>
        <v>0</v>
      </c>
      <c r="H29" s="225">
        <f t="shared" ca="1" si="9"/>
        <v>0</v>
      </c>
      <c r="I29" s="225">
        <f t="shared" ca="1" si="9"/>
        <v>0</v>
      </c>
      <c r="J29" s="225">
        <f t="shared" ca="1" si="9"/>
        <v>0</v>
      </c>
      <c r="K29" s="225">
        <f t="shared" ca="1" si="9"/>
        <v>0</v>
      </c>
      <c r="L29" s="225">
        <f t="shared" ca="1" si="9"/>
        <v>0</v>
      </c>
      <c r="M29" s="225">
        <f t="shared" ca="1" si="9"/>
        <v>0</v>
      </c>
      <c r="N29" s="225">
        <f t="shared" ca="1" si="9"/>
        <v>0</v>
      </c>
      <c r="O29" s="225">
        <f t="shared" ca="1" si="9"/>
        <v>0</v>
      </c>
      <c r="P29" s="349"/>
      <c r="Q29" s="156"/>
    </row>
    <row r="30" spans="1:17">
      <c r="A30" s="365"/>
      <c r="B30" s="146"/>
      <c r="C30" s="370"/>
      <c r="D30" s="146"/>
      <c r="E30" s="71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349"/>
      <c r="Q30" s="156"/>
    </row>
    <row r="31" spans="1:17" ht="28.5">
      <c r="A31" s="412">
        <f ca="1">ROUND(D31/1000,2)</f>
        <v>0</v>
      </c>
      <c r="B31" s="591" t="s">
        <v>591</v>
      </c>
      <c r="C31" s="238" t="s">
        <v>19</v>
      </c>
      <c r="D31" s="374">
        <f ca="1">SUM(F31:O31)</f>
        <v>0</v>
      </c>
      <c r="E31" s="71"/>
      <c r="F31" s="374">
        <f ca="1">SUM(F32:F33)</f>
        <v>0</v>
      </c>
      <c r="G31" s="374">
        <f t="shared" ref="G31:O31" ca="1" si="10">SUM(G32:G33)</f>
        <v>0</v>
      </c>
      <c r="H31" s="374">
        <f t="shared" ca="1" si="10"/>
        <v>0</v>
      </c>
      <c r="I31" s="374">
        <f t="shared" ca="1" si="10"/>
        <v>0</v>
      </c>
      <c r="J31" s="374">
        <f t="shared" ca="1" si="10"/>
        <v>0</v>
      </c>
      <c r="K31" s="374">
        <f t="shared" ca="1" si="10"/>
        <v>0</v>
      </c>
      <c r="L31" s="374">
        <f t="shared" ca="1" si="10"/>
        <v>0</v>
      </c>
      <c r="M31" s="374">
        <f t="shared" ca="1" si="10"/>
        <v>0</v>
      </c>
      <c r="N31" s="374">
        <f t="shared" ca="1" si="10"/>
        <v>0</v>
      </c>
      <c r="O31" s="374">
        <f t="shared" ca="1" si="10"/>
        <v>0</v>
      </c>
      <c r="P31" s="348"/>
      <c r="Q31" s="156"/>
    </row>
    <row r="32" spans="1:17">
      <c r="A32" s="412">
        <f ca="1">ROUND(D32/1000,2)</f>
        <v>0</v>
      </c>
      <c r="B32" s="173" t="s">
        <v>576</v>
      </c>
      <c r="C32" s="238" t="s">
        <v>19</v>
      </c>
      <c r="D32" s="374">
        <f ca="1">SUM(F32:O32)</f>
        <v>0</v>
      </c>
      <c r="E32" s="71"/>
      <c r="F32" s="225">
        <f t="shared" ref="F32:O32" ca="1" si="11">F16-F28</f>
        <v>0</v>
      </c>
      <c r="G32" s="225">
        <f t="shared" ca="1" si="11"/>
        <v>0</v>
      </c>
      <c r="H32" s="225">
        <f t="shared" ca="1" si="11"/>
        <v>0</v>
      </c>
      <c r="I32" s="225">
        <f t="shared" ca="1" si="11"/>
        <v>0</v>
      </c>
      <c r="J32" s="225">
        <f t="shared" ca="1" si="11"/>
        <v>0</v>
      </c>
      <c r="K32" s="225">
        <f t="shared" ca="1" si="11"/>
        <v>0</v>
      </c>
      <c r="L32" s="225">
        <f t="shared" ca="1" si="11"/>
        <v>0</v>
      </c>
      <c r="M32" s="225">
        <f t="shared" ca="1" si="11"/>
        <v>0</v>
      </c>
      <c r="N32" s="225">
        <f t="shared" ca="1" si="11"/>
        <v>0</v>
      </c>
      <c r="O32" s="225">
        <f t="shared" ca="1" si="11"/>
        <v>0</v>
      </c>
      <c r="P32" s="349"/>
      <c r="Q32" s="156"/>
    </row>
    <row r="33" spans="1:17">
      <c r="A33" s="412">
        <f ca="1">ROUND(D33/1000,2)</f>
        <v>0</v>
      </c>
      <c r="B33" s="173" t="s">
        <v>577</v>
      </c>
      <c r="C33" s="238" t="s">
        <v>19</v>
      </c>
      <c r="D33" s="374">
        <f ca="1">SUM(F33:O33)</f>
        <v>0</v>
      </c>
      <c r="E33" s="71"/>
      <c r="F33" s="225">
        <f t="shared" ref="F33:O33" ca="1" si="12">F17-F29</f>
        <v>0</v>
      </c>
      <c r="G33" s="225">
        <f t="shared" ca="1" si="12"/>
        <v>0</v>
      </c>
      <c r="H33" s="225">
        <f t="shared" ca="1" si="12"/>
        <v>0</v>
      </c>
      <c r="I33" s="225">
        <f t="shared" ca="1" si="12"/>
        <v>0</v>
      </c>
      <c r="J33" s="225">
        <f t="shared" ca="1" si="12"/>
        <v>0</v>
      </c>
      <c r="K33" s="225">
        <f t="shared" ca="1" si="12"/>
        <v>0</v>
      </c>
      <c r="L33" s="225">
        <f t="shared" ca="1" si="12"/>
        <v>0</v>
      </c>
      <c r="M33" s="225">
        <f t="shared" ca="1" si="12"/>
        <v>0</v>
      </c>
      <c r="N33" s="225">
        <f t="shared" ca="1" si="12"/>
        <v>0</v>
      </c>
      <c r="O33" s="225">
        <f t="shared" ca="1" si="12"/>
        <v>0</v>
      </c>
      <c r="P33" s="349"/>
      <c r="Q33" s="156"/>
    </row>
    <row r="34" spans="1:17">
      <c r="A34" s="146"/>
      <c r="B34" s="146"/>
      <c r="C34" s="370"/>
      <c r="D34" s="146"/>
      <c r="E34" s="71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349"/>
      <c r="Q34" s="156"/>
    </row>
    <row r="35" spans="1:17">
      <c r="A35" s="146"/>
      <c r="B35" s="146"/>
      <c r="C35" s="370"/>
      <c r="D35" s="146"/>
      <c r="E35" s="71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349"/>
      <c r="Q35" s="156"/>
    </row>
    <row r="36" spans="1:17">
      <c r="A36" s="146"/>
      <c r="B36" s="574"/>
      <c r="C36" s="370"/>
      <c r="D36" s="146"/>
      <c r="E36" s="71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71"/>
      <c r="Q36" s="156"/>
    </row>
    <row r="37" spans="1:17">
      <c r="A37" s="146"/>
      <c r="B37" s="574"/>
      <c r="C37" s="370"/>
      <c r="D37" s="146"/>
      <c r="E37" s="71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71"/>
    </row>
    <row r="38" spans="1:17">
      <c r="A38" s="146"/>
      <c r="B38" s="169" t="str">
        <f t="array" aca="1" ref="B38" ca="1">HYPERLINK(CELL("адрес",БДР!$A$1),"Перейти на лист БДР")</f>
        <v>Перейти на лист БДР</v>
      </c>
      <c r="C38" s="370"/>
      <c r="D38" s="146"/>
      <c r="E38" s="71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71"/>
    </row>
    <row r="39" spans="1:17">
      <c r="A39" s="146"/>
      <c r="B39" s="169" t="str">
        <f t="array" aca="1" ref="B39" ca="1">HYPERLINK(CELL("адрес",БДДС!$A$1),"Перейти на лист БДДС")</f>
        <v>Перейти на лист БДДС</v>
      </c>
      <c r="C39" s="370"/>
      <c r="D39" s="146"/>
      <c r="E39" s="71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71"/>
    </row>
    <row r="40" spans="1:17">
      <c r="A40" s="146"/>
      <c r="B40" s="169" t="str">
        <f t="array" aca="1" ref="B40" ca="1">HYPERLINK(CELL("адрес",Баланс!$A$1),"Перейти на лист Баланс")</f>
        <v>Перейти на лист Баланс</v>
      </c>
      <c r="C40" s="370"/>
      <c r="D40" s="146"/>
      <c r="E40" s="71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71"/>
    </row>
    <row r="41" spans="1:17">
      <c r="A41" s="146"/>
      <c r="B41" s="414" t="str">
        <f t="array" aca="1" ref="B41" ca="1">HYPERLINK(CELL("адрес",Дашборд_ИтогТабл!$A$1),"Перейти на лист Дашборд_1")</f>
        <v>Перейти на лист Дашборд_1</v>
      </c>
      <c r="C41" s="370"/>
      <c r="D41" s="146"/>
      <c r="E41" s="71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71"/>
    </row>
    <row r="42" spans="1:17">
      <c r="A42" s="146"/>
      <c r="B42" s="414" t="str">
        <f t="array" aca="1" ref="B42" ca="1">HYPERLINK(CELL("адрес",Дашборд_Основной!$A$1),"Перейти на лист Дашборд_Общий")</f>
        <v>Перейти на лист Дашборд_Общий</v>
      </c>
      <c r="C42" s="370"/>
      <c r="D42" s="146"/>
      <c r="E42" s="71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71"/>
    </row>
    <row r="43" spans="1:17">
      <c r="A43" s="146"/>
      <c r="B43" s="414" t="str">
        <f t="array" aca="1" ref="B43" ca="1">HYPERLINK(CELL("адрес",Дашборд_налоги!$A$1),"Перейти на лист Дашборд_Налоги")</f>
        <v>Перейти на лист Дашборд_Налоги</v>
      </c>
      <c r="C43" s="370"/>
      <c r="D43" s="146"/>
      <c r="E43" s="71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71"/>
    </row>
    <row r="44" spans="1:17">
      <c r="A44" s="146"/>
      <c r="B44" s="146"/>
      <c r="C44" s="370"/>
      <c r="D44" s="146"/>
      <c r="E44" s="71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71"/>
    </row>
    <row r="45" spans="1:17">
      <c r="A45" s="146"/>
      <c r="B45" s="146"/>
      <c r="C45" s="370"/>
      <c r="D45" s="146"/>
      <c r="E45" s="71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71"/>
    </row>
    <row r="46" spans="1:17">
      <c r="A46" s="146"/>
      <c r="B46" s="146"/>
      <c r="C46" s="370"/>
      <c r="D46" s="146"/>
      <c r="E46" s="71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71"/>
    </row>
    <row r="47" spans="1:17">
      <c r="A47" s="146"/>
      <c r="B47" s="146"/>
      <c r="C47" s="370"/>
      <c r="D47" s="146"/>
      <c r="E47" s="71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71"/>
    </row>
  </sheetData>
  <hyperlinks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theme="9" tint="0.59999389629810485"/>
    <outlinePr summaryRight="0"/>
    <pageSetUpPr fitToPage="1"/>
  </sheetPr>
  <dimension ref="A1:AD34"/>
  <sheetViews>
    <sheetView zoomScaleNormal="100" workbookViewId="0">
      <pane xSplit="4" ySplit="4" topLeftCell="E5" activePane="bottomRight" state="frozen"/>
      <selection pane="topRight"/>
      <selection pane="bottomLeft"/>
      <selection pane="bottomRight" activeCell="F10" sqref="F10"/>
    </sheetView>
  </sheetViews>
  <sheetFormatPr defaultRowHeight="15" outlineLevelCol="1"/>
  <cols>
    <col min="1" max="1" width="11.5703125" customWidth="1"/>
    <col min="2" max="2" width="27.7109375" customWidth="1"/>
    <col min="3" max="3" width="11" style="14" customWidth="1"/>
    <col min="4" max="4" width="11" customWidth="1"/>
    <col min="5" max="5" width="2.28515625" customWidth="1"/>
    <col min="16" max="16" width="1.8554687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32.25">
      <c r="A1" s="654" t="s">
        <v>376</v>
      </c>
      <c r="B1" s="71"/>
      <c r="C1" s="367"/>
      <c r="D1" s="71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354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>
      <c r="A2" s="71" t="str">
        <f>Паспорт_ФМ_резидент!B7</f>
        <v>Разработка, производство, модернизация и реализация …</v>
      </c>
      <c r="B2" s="71"/>
      <c r="C2" s="367"/>
      <c r="D2" s="71"/>
      <c r="E2" s="71"/>
      <c r="F2" s="347">
        <v>1</v>
      </c>
      <c r="G2" s="347">
        <v>2</v>
      </c>
      <c r="H2" s="347">
        <v>3</v>
      </c>
      <c r="I2" s="347">
        <v>4</v>
      </c>
      <c r="J2" s="347">
        <v>5</v>
      </c>
      <c r="K2" s="347">
        <v>6</v>
      </c>
      <c r="L2" s="347">
        <v>7</v>
      </c>
      <c r="M2" s="347">
        <v>8</v>
      </c>
      <c r="N2" s="347">
        <v>9</v>
      </c>
      <c r="O2" s="347">
        <v>10</v>
      </c>
      <c r="P2" s="355"/>
      <c r="Q2" s="156"/>
      <c r="R2" s="355">
        <v>11</v>
      </c>
      <c r="S2" s="347">
        <f>R2+1</f>
        <v>12</v>
      </c>
      <c r="T2" s="347">
        <f>S2+1</f>
        <v>13</v>
      </c>
      <c r="U2" s="347">
        <f t="shared" ref="U2:AA3" si="0">T2+1</f>
        <v>14</v>
      </c>
      <c r="V2" s="347">
        <f t="shared" si="0"/>
        <v>15</v>
      </c>
      <c r="W2" s="347">
        <f t="shared" si="0"/>
        <v>16</v>
      </c>
      <c r="X2" s="347">
        <f t="shared" si="0"/>
        <v>17</v>
      </c>
      <c r="Y2" s="347">
        <f t="shared" si="0"/>
        <v>18</v>
      </c>
      <c r="Z2" s="347">
        <f t="shared" si="0"/>
        <v>19</v>
      </c>
      <c r="AA2" s="347">
        <f t="shared" si="0"/>
        <v>20</v>
      </c>
      <c r="AB2" s="71"/>
      <c r="AC2" s="71"/>
      <c r="AD2" s="71"/>
    </row>
    <row r="3" spans="1:30" s="18" customFormat="1" ht="28.5">
      <c r="A3" s="78" t="s">
        <v>2</v>
      </c>
      <c r="B3" s="78" t="s">
        <v>3</v>
      </c>
      <c r="C3" s="127" t="s">
        <v>12</v>
      </c>
      <c r="D3" s="194" t="str">
        <f>CONCATENATE("Итого ",F3,"-",O3)</f>
        <v>Итого 2024-2033</v>
      </c>
      <c r="E3" s="152"/>
      <c r="F3" s="766">
        <v>2024</v>
      </c>
      <c r="G3" s="127">
        <f>F3+1</f>
        <v>2025</v>
      </c>
      <c r="H3" s="127">
        <f t="shared" ref="H3:O3" si="1">G3+1</f>
        <v>2026</v>
      </c>
      <c r="I3" s="127">
        <f t="shared" si="1"/>
        <v>2027</v>
      </c>
      <c r="J3" s="127">
        <f t="shared" si="1"/>
        <v>2028</v>
      </c>
      <c r="K3" s="127">
        <f t="shared" si="1"/>
        <v>2029</v>
      </c>
      <c r="L3" s="127">
        <f t="shared" si="1"/>
        <v>2030</v>
      </c>
      <c r="M3" s="127">
        <f t="shared" si="1"/>
        <v>2031</v>
      </c>
      <c r="N3" s="127">
        <f t="shared" si="1"/>
        <v>2032</v>
      </c>
      <c r="O3" s="127">
        <f t="shared" si="1"/>
        <v>2033</v>
      </c>
      <c r="P3" s="671"/>
      <c r="Q3" s="157"/>
      <c r="R3" s="160">
        <v>2035</v>
      </c>
      <c r="S3" s="160">
        <f>R3+1</f>
        <v>2036</v>
      </c>
      <c r="T3" s="160">
        <f>S3+1</f>
        <v>2037</v>
      </c>
      <c r="U3" s="160">
        <f t="shared" si="0"/>
        <v>2038</v>
      </c>
      <c r="V3" s="160">
        <f t="shared" si="0"/>
        <v>2039</v>
      </c>
      <c r="W3" s="160">
        <f t="shared" si="0"/>
        <v>2040</v>
      </c>
      <c r="X3" s="160">
        <f t="shared" si="0"/>
        <v>2041</v>
      </c>
      <c r="Y3" s="160">
        <f t="shared" si="0"/>
        <v>2042</v>
      </c>
      <c r="Z3" s="160">
        <f t="shared" si="0"/>
        <v>2043</v>
      </c>
      <c r="AA3" s="160">
        <f t="shared" si="0"/>
        <v>2044</v>
      </c>
      <c r="AB3" s="152"/>
      <c r="AC3" s="152"/>
      <c r="AD3" s="152"/>
    </row>
    <row r="4" spans="1:30" ht="8.1" customHeight="1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6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>
      <c r="A5" s="146"/>
      <c r="B5" s="146"/>
      <c r="C5" s="370"/>
      <c r="D5" s="146"/>
      <c r="E5" s="71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349"/>
      <c r="Q5" s="156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>
      <c r="A6" s="570" t="s">
        <v>732</v>
      </c>
      <c r="B6" s="572"/>
      <c r="C6" s="575"/>
      <c r="D6" s="575"/>
      <c r="E6" s="7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349"/>
      <c r="Q6" s="156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>
      <c r="A7" s="71"/>
      <c r="B7" s="71"/>
      <c r="C7" s="367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156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>
      <c r="A8" s="146"/>
      <c r="B8" s="146"/>
      <c r="C8" s="370"/>
      <c r="D8" s="146"/>
      <c r="E8" s="71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349"/>
      <c r="Q8" s="156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>
      <c r="A9" s="146"/>
      <c r="B9" s="146"/>
      <c r="C9" s="370"/>
      <c r="D9" s="146"/>
      <c r="E9" s="71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349"/>
      <c r="Q9" s="156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>
      <c r="A10" s="146"/>
      <c r="B10" s="146"/>
      <c r="C10" s="370"/>
      <c r="D10" s="146"/>
      <c r="E10" s="71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349"/>
      <c r="Q10" s="156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>
      <c r="A11" s="570" t="s">
        <v>733</v>
      </c>
      <c r="B11" s="572"/>
      <c r="C11" s="575"/>
      <c r="D11" s="575"/>
      <c r="E11" s="7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349"/>
      <c r="Q11" s="156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>
      <c r="A12" s="146"/>
      <c r="B12" s="146"/>
      <c r="C12" s="370"/>
      <c r="D12" s="146"/>
      <c r="E12" s="71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349"/>
      <c r="Q12" s="156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ht="45">
      <c r="A13" s="146"/>
      <c r="B13" s="173" t="s">
        <v>760</v>
      </c>
      <c r="C13" s="238" t="s">
        <v>19</v>
      </c>
      <c r="D13" s="146"/>
      <c r="E13" s="71"/>
      <c r="F13" s="753"/>
      <c r="G13" s="753"/>
      <c r="H13" s="753"/>
      <c r="I13" s="753"/>
      <c r="J13" s="753"/>
      <c r="K13" s="753"/>
      <c r="L13" s="753"/>
      <c r="M13" s="753"/>
      <c r="N13" s="753"/>
      <c r="O13" s="753"/>
      <c r="P13" s="349"/>
      <c r="Q13" s="156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ht="30">
      <c r="A14" s="356" t="str">
        <f t="array" aca="1" ref="A14" ca="1">HYPERLINK(CELL("адрес",Макро!$B$55),"источник")</f>
        <v>источник</v>
      </c>
      <c r="B14" s="173" t="s">
        <v>288</v>
      </c>
      <c r="C14" s="186" t="s">
        <v>27</v>
      </c>
      <c r="D14" s="146"/>
      <c r="E14" s="71"/>
      <c r="F14" s="592">
        <f>Макро!F55</f>
        <v>8.0000000000000002E-3</v>
      </c>
      <c r="G14" s="592">
        <f>Макро!G55</f>
        <v>8.0000000000000002E-3</v>
      </c>
      <c r="H14" s="592">
        <f>Макро!H55</f>
        <v>0.01</v>
      </c>
      <c r="I14" s="592">
        <f>Макро!I55</f>
        <v>1.2E-2</v>
      </c>
      <c r="J14" s="592">
        <f>Макро!J55</f>
        <v>1.3999999999999999E-2</v>
      </c>
      <c r="K14" s="592">
        <f>Макро!K55</f>
        <v>1.3999999999999999E-2</v>
      </c>
      <c r="L14" s="592">
        <f>Макро!L55</f>
        <v>1.3999999999999999E-2</v>
      </c>
      <c r="M14" s="592">
        <f>Макро!M55</f>
        <v>1.3999999999999999E-2</v>
      </c>
      <c r="N14" s="592">
        <f>Макро!N55</f>
        <v>1.3999999999999999E-2</v>
      </c>
      <c r="O14" s="592">
        <f>Макро!O55</f>
        <v>0.02</v>
      </c>
      <c r="P14" s="685"/>
      <c r="Q14" s="593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>
      <c r="A15" s="146"/>
      <c r="B15" s="146" t="s">
        <v>811</v>
      </c>
      <c r="C15" s="238" t="s">
        <v>19</v>
      </c>
      <c r="D15" s="374">
        <f>SUM(F15:O15)</f>
        <v>0</v>
      </c>
      <c r="E15" s="71"/>
      <c r="F15" s="225">
        <f>F13*F10</f>
        <v>0</v>
      </c>
      <c r="G15" s="225">
        <f t="shared" ref="G15:O15" si="2">G13*G10</f>
        <v>0</v>
      </c>
      <c r="H15" s="225">
        <f t="shared" si="2"/>
        <v>0</v>
      </c>
      <c r="I15" s="225">
        <f t="shared" si="2"/>
        <v>0</v>
      </c>
      <c r="J15" s="225">
        <f t="shared" si="2"/>
        <v>0</v>
      </c>
      <c r="K15" s="225">
        <f t="shared" si="2"/>
        <v>0</v>
      </c>
      <c r="L15" s="225">
        <f t="shared" si="2"/>
        <v>0</v>
      </c>
      <c r="M15" s="225">
        <f t="shared" si="2"/>
        <v>0</v>
      </c>
      <c r="N15" s="225">
        <f t="shared" si="2"/>
        <v>0</v>
      </c>
      <c r="O15" s="225">
        <f t="shared" si="2"/>
        <v>0</v>
      </c>
      <c r="P15" s="349"/>
      <c r="Q15" s="156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>
      <c r="A16" s="146"/>
      <c r="B16" s="146"/>
      <c r="C16" s="370"/>
      <c r="D16" s="146"/>
      <c r="E16" s="71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349"/>
      <c r="Q16" s="156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>
      <c r="A17" s="146"/>
      <c r="B17" s="146"/>
      <c r="C17" s="370"/>
      <c r="D17" s="146"/>
      <c r="E17" s="71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349"/>
      <c r="Q17" s="156"/>
    </row>
    <row r="18" spans="1:17">
      <c r="A18" s="146"/>
      <c r="B18" s="146"/>
      <c r="C18" s="370"/>
      <c r="D18" s="146"/>
      <c r="E18" s="71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349"/>
      <c r="Q18" s="156"/>
    </row>
    <row r="19" spans="1:17">
      <c r="A19" s="146"/>
      <c r="B19" s="146"/>
      <c r="C19" s="370"/>
      <c r="D19" s="146"/>
      <c r="E19" s="71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349"/>
      <c r="Q19" s="156"/>
    </row>
    <row r="20" spans="1:17">
      <c r="A20" s="146"/>
      <c r="B20" s="146"/>
      <c r="C20" s="370"/>
      <c r="D20" s="146"/>
      <c r="E20" s="71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349"/>
      <c r="Q20" s="156"/>
    </row>
    <row r="21" spans="1:17">
      <c r="A21" s="146"/>
      <c r="B21" s="574"/>
      <c r="C21" s="370"/>
      <c r="D21" s="146"/>
      <c r="E21" s="71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349"/>
      <c r="Q21" s="156"/>
    </row>
    <row r="22" spans="1:17">
      <c r="A22" s="146"/>
      <c r="B22" s="169" t="str">
        <f t="array" aca="1" ref="B22" ca="1">HYPERLINK(CELL("адрес",БДР!$A$1),"Перейти на лист БДР")</f>
        <v>Перейти на лист БДР</v>
      </c>
      <c r="C22" s="370"/>
      <c r="D22" s="146"/>
      <c r="E22" s="71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349"/>
    </row>
    <row r="23" spans="1:17">
      <c r="A23" s="146"/>
      <c r="B23" s="169" t="str">
        <f t="array" aca="1" ref="B23" ca="1">HYPERLINK(CELL("адрес",БДДС!$A$1),"Перейти на лист БДДС")</f>
        <v>Перейти на лист БДДС</v>
      </c>
      <c r="C23" s="370"/>
      <c r="D23" s="146"/>
      <c r="E23" s="71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71"/>
    </row>
    <row r="24" spans="1:17">
      <c r="A24" s="146"/>
      <c r="B24" s="169" t="str">
        <f t="array" aca="1" ref="B24" ca="1">HYPERLINK(CELL("адрес",Баланс!$A$1),"Перейти на лист Баланс")</f>
        <v>Перейти на лист Баланс</v>
      </c>
      <c r="C24" s="370"/>
      <c r="D24" s="146"/>
      <c r="E24" s="71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71"/>
    </row>
    <row r="25" spans="1:17">
      <c r="A25" s="146"/>
      <c r="B25" s="414" t="str">
        <f t="array" aca="1" ref="B25" ca="1">HYPERLINK(CELL("адрес",Дашборд_ИтогТабл!$A$1),"Перейти на лист Дашборд_1")</f>
        <v>Перейти на лист Дашборд_1</v>
      </c>
      <c r="C25" s="370"/>
      <c r="D25" s="146"/>
      <c r="E25" s="71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71"/>
    </row>
    <row r="26" spans="1:17">
      <c r="A26" s="146"/>
      <c r="B26" s="414" t="str">
        <f t="array" aca="1" ref="B26" ca="1">HYPERLINK(CELL("адрес",Дашборд_Основной!$A$1),"Перейти на лист Дашборд_Общий")</f>
        <v>Перейти на лист Дашборд_Общий</v>
      </c>
      <c r="C26" s="370"/>
      <c r="D26" s="146"/>
      <c r="E26" s="71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71"/>
    </row>
    <row r="27" spans="1:17">
      <c r="A27" s="146"/>
      <c r="B27" s="414" t="str">
        <f t="array" aca="1" ref="B27" ca="1">HYPERLINK(CELL("адрес",Дашборд_налоги!$A$1),"Перейти на лист Дашборд_Налоги")</f>
        <v>Перейти на лист Дашборд_Налоги</v>
      </c>
      <c r="C27" s="370"/>
      <c r="D27" s="146"/>
      <c r="E27" s="71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71"/>
    </row>
    <row r="28" spans="1:17">
      <c r="A28" s="146"/>
      <c r="B28" s="146"/>
      <c r="C28" s="370"/>
      <c r="D28" s="146"/>
      <c r="E28" s="71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71"/>
    </row>
    <row r="29" spans="1:17">
      <c r="A29" s="146"/>
      <c r="B29" s="146"/>
      <c r="C29" s="370"/>
      <c r="D29" s="146"/>
      <c r="E29" s="71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71"/>
    </row>
    <row r="30" spans="1:17">
      <c r="A30" s="146"/>
      <c r="B30" s="146"/>
      <c r="C30" s="370"/>
      <c r="D30" s="146"/>
      <c r="E30" s="71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71"/>
    </row>
    <row r="31" spans="1:17">
      <c r="A31" s="146"/>
      <c r="B31" s="146"/>
      <c r="C31" s="370"/>
      <c r="D31" s="146"/>
      <c r="E31" s="71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71"/>
    </row>
    <row r="32" spans="1:17">
      <c r="A32" s="146"/>
      <c r="B32" s="146"/>
      <c r="C32" s="370"/>
      <c r="D32" s="146"/>
      <c r="E32" s="71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71"/>
    </row>
    <row r="33" spans="1:16">
      <c r="A33" s="146"/>
      <c r="B33" s="146"/>
      <c r="C33" s="370"/>
      <c r="D33" s="146"/>
      <c r="E33" s="71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71"/>
    </row>
    <row r="34" spans="1:16">
      <c r="A34" s="146"/>
      <c r="B34" s="146"/>
      <c r="C34" s="370"/>
      <c r="D34" s="146"/>
      <c r="E34" s="71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71"/>
    </row>
  </sheetData>
  <hyperlinks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9" tint="0.59999389629810485"/>
    <outlinePr summaryRight="0"/>
    <pageSetUpPr fitToPage="1"/>
  </sheetPr>
  <dimension ref="A1:AD59"/>
  <sheetViews>
    <sheetView zoomScale="115" zoomScaleNormal="115" workbookViewId="0">
      <pane xSplit="4" ySplit="4" topLeftCell="E5" activePane="bottomRight" state="frozen"/>
      <selection pane="topRight"/>
      <selection pane="bottomLeft"/>
      <selection pane="bottomRight" activeCell="F6" sqref="F6"/>
    </sheetView>
  </sheetViews>
  <sheetFormatPr defaultRowHeight="15" outlineLevelCol="1"/>
  <cols>
    <col min="1" max="1" width="11.5703125" customWidth="1"/>
    <col min="2" max="2" width="27.7109375" customWidth="1"/>
    <col min="3" max="3" width="11" style="14" customWidth="1"/>
    <col min="4" max="4" width="11" customWidth="1"/>
    <col min="5" max="5" width="2.28515625" customWidth="1"/>
    <col min="16" max="16" width="2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32.25">
      <c r="A1" s="654" t="s">
        <v>283</v>
      </c>
      <c r="B1" s="71"/>
      <c r="C1" s="367"/>
      <c r="D1" s="71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354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>
      <c r="A2" s="71" t="str">
        <f>Паспорт_ФМ_резидент!B7</f>
        <v>Разработка, производство, модернизация и реализация …</v>
      </c>
      <c r="B2" s="71"/>
      <c r="C2" s="367"/>
      <c r="D2" s="71"/>
      <c r="E2" s="71"/>
      <c r="F2" s="347">
        <v>1</v>
      </c>
      <c r="G2" s="347">
        <v>2</v>
      </c>
      <c r="H2" s="347">
        <v>3</v>
      </c>
      <c r="I2" s="347">
        <v>4</v>
      </c>
      <c r="J2" s="347">
        <v>5</v>
      </c>
      <c r="K2" s="347">
        <v>6</v>
      </c>
      <c r="L2" s="347">
        <v>7</v>
      </c>
      <c r="M2" s="347">
        <v>8</v>
      </c>
      <c r="N2" s="347">
        <v>9</v>
      </c>
      <c r="O2" s="347">
        <v>10</v>
      </c>
      <c r="P2" s="355"/>
      <c r="Q2" s="156"/>
      <c r="R2" s="355">
        <v>11</v>
      </c>
      <c r="S2" s="347">
        <f>R2+1</f>
        <v>12</v>
      </c>
      <c r="T2" s="347">
        <f>S2+1</f>
        <v>13</v>
      </c>
      <c r="U2" s="347">
        <f t="shared" ref="U2:AA3" si="0">T2+1</f>
        <v>14</v>
      </c>
      <c r="V2" s="347">
        <f t="shared" si="0"/>
        <v>15</v>
      </c>
      <c r="W2" s="347">
        <f t="shared" si="0"/>
        <v>16</v>
      </c>
      <c r="X2" s="347">
        <f t="shared" si="0"/>
        <v>17</v>
      </c>
      <c r="Y2" s="347">
        <f t="shared" si="0"/>
        <v>18</v>
      </c>
      <c r="Z2" s="347">
        <f t="shared" si="0"/>
        <v>19</v>
      </c>
      <c r="AA2" s="347">
        <f t="shared" si="0"/>
        <v>20</v>
      </c>
      <c r="AB2" s="71"/>
      <c r="AC2" s="71"/>
      <c r="AD2" s="71"/>
    </row>
    <row r="3" spans="1:30" s="18" customFormat="1" ht="28.5">
      <c r="A3" s="78" t="s">
        <v>2</v>
      </c>
      <c r="B3" s="78" t="s">
        <v>3</v>
      </c>
      <c r="C3" s="127" t="s">
        <v>12</v>
      </c>
      <c r="D3" s="194" t="str">
        <f>CONCATENATE("Итого ",F3,"-",O3)</f>
        <v>Итого 2024-2033</v>
      </c>
      <c r="E3" s="152"/>
      <c r="F3" s="766">
        <v>2024</v>
      </c>
      <c r="G3" s="127">
        <f>F3+1</f>
        <v>2025</v>
      </c>
      <c r="H3" s="127">
        <f t="shared" ref="H3:O3" si="1">G3+1</f>
        <v>2026</v>
      </c>
      <c r="I3" s="127">
        <f t="shared" si="1"/>
        <v>2027</v>
      </c>
      <c r="J3" s="127">
        <f t="shared" si="1"/>
        <v>2028</v>
      </c>
      <c r="K3" s="127">
        <f t="shared" si="1"/>
        <v>2029</v>
      </c>
      <c r="L3" s="127">
        <f t="shared" si="1"/>
        <v>2030</v>
      </c>
      <c r="M3" s="127">
        <f t="shared" si="1"/>
        <v>2031</v>
      </c>
      <c r="N3" s="127">
        <f t="shared" si="1"/>
        <v>2032</v>
      </c>
      <c r="O3" s="127">
        <f t="shared" si="1"/>
        <v>2033</v>
      </c>
      <c r="P3" s="671"/>
      <c r="Q3" s="157"/>
      <c r="R3" s="160">
        <v>2035</v>
      </c>
      <c r="S3" s="160">
        <f>R3+1</f>
        <v>2036</v>
      </c>
      <c r="T3" s="160">
        <f>S3+1</f>
        <v>2037</v>
      </c>
      <c r="U3" s="160">
        <f t="shared" si="0"/>
        <v>2038</v>
      </c>
      <c r="V3" s="160">
        <f t="shared" si="0"/>
        <v>2039</v>
      </c>
      <c r="W3" s="160">
        <f t="shared" si="0"/>
        <v>2040</v>
      </c>
      <c r="X3" s="160">
        <f t="shared" si="0"/>
        <v>2041</v>
      </c>
      <c r="Y3" s="160">
        <f t="shared" si="0"/>
        <v>2042</v>
      </c>
      <c r="Z3" s="160">
        <f t="shared" si="0"/>
        <v>2043</v>
      </c>
      <c r="AA3" s="160">
        <f t="shared" si="0"/>
        <v>2044</v>
      </c>
      <c r="AB3" s="152"/>
      <c r="AC3" s="152"/>
      <c r="AD3" s="152"/>
    </row>
    <row r="4" spans="1:30" ht="8.1" customHeight="1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6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>
      <c r="A5" s="236"/>
      <c r="B5" s="206"/>
      <c r="C5" s="370"/>
      <c r="D5" s="146"/>
      <c r="E5" s="71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349"/>
      <c r="Q5" s="156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ht="45">
      <c r="A6" s="236"/>
      <c r="B6" s="206" t="s">
        <v>349</v>
      </c>
      <c r="C6" s="238" t="s">
        <v>19</v>
      </c>
      <c r="D6" s="146"/>
      <c r="E6" s="71"/>
      <c r="F6" s="753">
        <v>0</v>
      </c>
      <c r="G6" s="225">
        <f>F7</f>
        <v>0</v>
      </c>
      <c r="H6" s="225">
        <f t="shared" ref="H6:O6" si="2">G7</f>
        <v>0</v>
      </c>
      <c r="I6" s="225">
        <f t="shared" si="2"/>
        <v>0</v>
      </c>
      <c r="J6" s="225">
        <f t="shared" si="2"/>
        <v>0</v>
      </c>
      <c r="K6" s="225">
        <f t="shared" si="2"/>
        <v>0</v>
      </c>
      <c r="L6" s="225">
        <f t="shared" si="2"/>
        <v>0</v>
      </c>
      <c r="M6" s="225">
        <f t="shared" si="2"/>
        <v>0</v>
      </c>
      <c r="N6" s="225">
        <f t="shared" si="2"/>
        <v>0</v>
      </c>
      <c r="O6" s="225">
        <f t="shared" si="2"/>
        <v>0</v>
      </c>
      <c r="P6" s="349"/>
      <c r="Q6" s="156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ht="45">
      <c r="A7" s="221" t="str">
        <f t="array" aca="1" ref="A7" ca="1">HYPERLINK(CELL("адрес",Инвестиции!A28),"источник")</f>
        <v>источник</v>
      </c>
      <c r="B7" s="206" t="s">
        <v>350</v>
      </c>
      <c r="C7" s="238" t="s">
        <v>19</v>
      </c>
      <c r="D7" s="146"/>
      <c r="E7" s="71"/>
      <c r="F7" s="225">
        <f>Инвестиции!F28</f>
        <v>0</v>
      </c>
      <c r="G7" s="225">
        <f>Инвестиции!G28</f>
        <v>0</v>
      </c>
      <c r="H7" s="225">
        <f>Инвестиции!H28</f>
        <v>0</v>
      </c>
      <c r="I7" s="225">
        <f>Инвестиции!I28</f>
        <v>0</v>
      </c>
      <c r="J7" s="225">
        <f>Инвестиции!J28</f>
        <v>0</v>
      </c>
      <c r="K7" s="225">
        <f>Инвестиции!K28</f>
        <v>0</v>
      </c>
      <c r="L7" s="225">
        <f>Инвестиции!L28</f>
        <v>0</v>
      </c>
      <c r="M7" s="225">
        <f>Инвестиции!M28</f>
        <v>0</v>
      </c>
      <c r="N7" s="225">
        <f>Инвестиции!N28</f>
        <v>0</v>
      </c>
      <c r="O7" s="225">
        <f>Инвестиции!O28</f>
        <v>0</v>
      </c>
      <c r="P7" s="349"/>
      <c r="Q7" s="156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>
      <c r="A8" s="236"/>
      <c r="B8" s="591" t="s">
        <v>289</v>
      </c>
      <c r="C8" s="238" t="s">
        <v>19</v>
      </c>
      <c r="D8" s="374"/>
      <c r="E8" s="71"/>
      <c r="F8" s="374">
        <f>(F6+F7)/2</f>
        <v>0</v>
      </c>
      <c r="G8" s="374">
        <f>(G6+G7)/2</f>
        <v>0</v>
      </c>
      <c r="H8" s="374">
        <f t="shared" ref="H8:O8" si="3">(H6+H7)/2</f>
        <v>0</v>
      </c>
      <c r="I8" s="374">
        <f t="shared" si="3"/>
        <v>0</v>
      </c>
      <c r="J8" s="374">
        <f t="shared" si="3"/>
        <v>0</v>
      </c>
      <c r="K8" s="374">
        <f t="shared" si="3"/>
        <v>0</v>
      </c>
      <c r="L8" s="374">
        <f t="shared" si="3"/>
        <v>0</v>
      </c>
      <c r="M8" s="374">
        <f t="shared" si="3"/>
        <v>0</v>
      </c>
      <c r="N8" s="374">
        <f t="shared" si="3"/>
        <v>0</v>
      </c>
      <c r="O8" s="374">
        <f t="shared" si="3"/>
        <v>0</v>
      </c>
      <c r="P8" s="348"/>
      <c r="Q8" s="156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>
      <c r="A9" s="236"/>
      <c r="B9" s="206"/>
      <c r="C9" s="370"/>
      <c r="D9" s="146"/>
      <c r="E9" s="71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349"/>
      <c r="Q9" s="156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>
      <c r="A10" s="570" t="s">
        <v>732</v>
      </c>
      <c r="B10" s="572"/>
      <c r="C10" s="575"/>
      <c r="D10" s="575"/>
      <c r="E10" s="7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349"/>
      <c r="Q10" s="156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ht="5.65" customHeight="1">
      <c r="A11" s="236"/>
      <c r="B11" s="206"/>
      <c r="C11" s="370"/>
      <c r="D11" s="146"/>
      <c r="E11" s="71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349"/>
      <c r="Q11" s="156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>
      <c r="A12" s="221" t="str">
        <f t="array" aca="1" ref="A12" ca="1">HYPERLINK(CELL("адрес",Макро!A49),"источник")</f>
        <v>источник</v>
      </c>
      <c r="B12" s="206" t="s">
        <v>284</v>
      </c>
      <c r="C12" s="186" t="s">
        <v>27</v>
      </c>
      <c r="D12" s="146"/>
      <c r="E12" s="71"/>
      <c r="F12" s="592">
        <f>Макро!F49</f>
        <v>2.1999999999999999E-2</v>
      </c>
      <c r="G12" s="592">
        <f>Макро!G49</f>
        <v>2.1999999999999999E-2</v>
      </c>
      <c r="H12" s="592">
        <f>Макро!H49</f>
        <v>2.1999999999999999E-2</v>
      </c>
      <c r="I12" s="592">
        <f>Макро!I49</f>
        <v>2.1999999999999999E-2</v>
      </c>
      <c r="J12" s="592">
        <f>Макро!J49</f>
        <v>2.1999999999999999E-2</v>
      </c>
      <c r="K12" s="592">
        <f>Макро!K49</f>
        <v>2.1999999999999999E-2</v>
      </c>
      <c r="L12" s="592">
        <f>Макро!L49</f>
        <v>2.1999999999999999E-2</v>
      </c>
      <c r="M12" s="592">
        <f>Макро!M49</f>
        <v>2.1999999999999999E-2</v>
      </c>
      <c r="N12" s="592">
        <f>Макро!N49</f>
        <v>2.1999999999999999E-2</v>
      </c>
      <c r="O12" s="592">
        <f>Макро!O49</f>
        <v>2.1999999999999999E-2</v>
      </c>
      <c r="P12" s="685"/>
      <c r="Q12" s="156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ht="42.75">
      <c r="A13" s="236"/>
      <c r="B13" s="591" t="s">
        <v>594</v>
      </c>
      <c r="C13" s="238" t="s">
        <v>19</v>
      </c>
      <c r="D13" s="374">
        <f>SUM(F13:O13)</f>
        <v>0</v>
      </c>
      <c r="E13" s="71"/>
      <c r="F13" s="225">
        <f>F8*F12</f>
        <v>0</v>
      </c>
      <c r="G13" s="225">
        <f t="shared" ref="G13:O13" si="4">G8*G12</f>
        <v>0</v>
      </c>
      <c r="H13" s="225">
        <f t="shared" si="4"/>
        <v>0</v>
      </c>
      <c r="I13" s="225">
        <f t="shared" si="4"/>
        <v>0</v>
      </c>
      <c r="J13" s="225">
        <f t="shared" si="4"/>
        <v>0</v>
      </c>
      <c r="K13" s="225">
        <f t="shared" si="4"/>
        <v>0</v>
      </c>
      <c r="L13" s="225">
        <f t="shared" si="4"/>
        <v>0</v>
      </c>
      <c r="M13" s="225">
        <f t="shared" si="4"/>
        <v>0</v>
      </c>
      <c r="N13" s="225">
        <f t="shared" si="4"/>
        <v>0</v>
      </c>
      <c r="O13" s="225">
        <f t="shared" si="4"/>
        <v>0</v>
      </c>
      <c r="P13" s="349"/>
      <c r="Q13" s="156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>
      <c r="A14" s="236"/>
      <c r="B14" s="591"/>
      <c r="C14" s="238"/>
      <c r="D14" s="374"/>
      <c r="E14" s="71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349"/>
      <c r="Q14" s="156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>
      <c r="A15" s="236"/>
      <c r="B15" s="206"/>
      <c r="C15" s="370"/>
      <c r="D15" s="146"/>
      <c r="E15" s="71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349"/>
      <c r="Q15" s="156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>
      <c r="A16" s="570" t="s">
        <v>733</v>
      </c>
      <c r="B16" s="572"/>
      <c r="C16" s="575"/>
      <c r="D16" s="575"/>
      <c r="E16" s="7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349"/>
      <c r="Q16" s="156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ht="7.15" customHeight="1">
      <c r="A17" s="236"/>
      <c r="B17" s="206"/>
      <c r="C17" s="370"/>
      <c r="D17" s="146"/>
      <c r="E17" s="71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349"/>
      <c r="Q17" s="156"/>
    </row>
    <row r="18" spans="1:17" ht="30">
      <c r="A18" s="221" t="str">
        <f t="array" aca="1" ref="A18" ca="1">HYPERLINK(CELL("адрес",Макро!A50),"источник")</f>
        <v>источник</v>
      </c>
      <c r="B18" s="206" t="s">
        <v>290</v>
      </c>
      <c r="C18" s="186" t="s">
        <v>27</v>
      </c>
      <c r="D18" s="146"/>
      <c r="E18" s="71"/>
      <c r="F18" s="592">
        <f>Макро!F50</f>
        <v>0</v>
      </c>
      <c r="G18" s="592">
        <f>Макро!G50</f>
        <v>0</v>
      </c>
      <c r="H18" s="592">
        <f>Макро!H50</f>
        <v>0</v>
      </c>
      <c r="I18" s="592">
        <f>Макро!I50</f>
        <v>0</v>
      </c>
      <c r="J18" s="592">
        <f>Макро!J50</f>
        <v>0</v>
      </c>
      <c r="K18" s="592">
        <f>Макро!K50</f>
        <v>0</v>
      </c>
      <c r="L18" s="592">
        <f>Макро!L50</f>
        <v>0</v>
      </c>
      <c r="M18" s="592">
        <f>Макро!M50</f>
        <v>0</v>
      </c>
      <c r="N18" s="592">
        <f>Макро!N50</f>
        <v>0</v>
      </c>
      <c r="O18" s="592">
        <f>Макро!O50</f>
        <v>0</v>
      </c>
      <c r="P18" s="685"/>
      <c r="Q18" s="156"/>
    </row>
    <row r="19" spans="1:17" ht="42.75">
      <c r="A19" s="236"/>
      <c r="B19" s="591" t="s">
        <v>595</v>
      </c>
      <c r="C19" s="370"/>
      <c r="D19" s="374">
        <f>SUM(F19:O19)</f>
        <v>0</v>
      </c>
      <c r="E19" s="71"/>
      <c r="F19" s="225">
        <f>F8*F18</f>
        <v>0</v>
      </c>
      <c r="G19" s="225">
        <f t="shared" ref="G19:O19" si="5">G8*G18</f>
        <v>0</v>
      </c>
      <c r="H19" s="225">
        <f t="shared" si="5"/>
        <v>0</v>
      </c>
      <c r="I19" s="225">
        <f t="shared" si="5"/>
        <v>0</v>
      </c>
      <c r="J19" s="225">
        <f t="shared" si="5"/>
        <v>0</v>
      </c>
      <c r="K19" s="225">
        <f t="shared" si="5"/>
        <v>0</v>
      </c>
      <c r="L19" s="225">
        <f t="shared" si="5"/>
        <v>0</v>
      </c>
      <c r="M19" s="225">
        <f t="shared" si="5"/>
        <v>0</v>
      </c>
      <c r="N19" s="225">
        <f t="shared" si="5"/>
        <v>0</v>
      </c>
      <c r="O19" s="225">
        <f t="shared" si="5"/>
        <v>0</v>
      </c>
      <c r="P19" s="349"/>
      <c r="Q19" s="156"/>
    </row>
    <row r="20" spans="1:17">
      <c r="A20" s="236"/>
      <c r="B20" s="146"/>
      <c r="C20" s="370"/>
      <c r="D20" s="146"/>
      <c r="E20" s="71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349"/>
      <c r="Q20" s="156"/>
    </row>
    <row r="21" spans="1:17" ht="28.5">
      <c r="A21" s="146"/>
      <c r="B21" s="591" t="s">
        <v>291</v>
      </c>
      <c r="C21" s="370"/>
      <c r="D21" s="374">
        <f>SUM(F21:O21)</f>
        <v>0</v>
      </c>
      <c r="E21" s="71"/>
      <c r="F21" s="225">
        <f>F13-F19</f>
        <v>0</v>
      </c>
      <c r="G21" s="225">
        <f t="shared" ref="G21:O21" si="6">G13-G19</f>
        <v>0</v>
      </c>
      <c r="H21" s="225">
        <f t="shared" si="6"/>
        <v>0</v>
      </c>
      <c r="I21" s="225">
        <f t="shared" si="6"/>
        <v>0</v>
      </c>
      <c r="J21" s="225">
        <f t="shared" si="6"/>
        <v>0</v>
      </c>
      <c r="K21" s="225">
        <f t="shared" si="6"/>
        <v>0</v>
      </c>
      <c r="L21" s="225">
        <f t="shared" si="6"/>
        <v>0</v>
      </c>
      <c r="M21" s="225">
        <f t="shared" si="6"/>
        <v>0</v>
      </c>
      <c r="N21" s="225">
        <f t="shared" si="6"/>
        <v>0</v>
      </c>
      <c r="O21" s="225">
        <f t="shared" si="6"/>
        <v>0</v>
      </c>
      <c r="P21" s="349"/>
      <c r="Q21" s="156"/>
    </row>
    <row r="22" spans="1:17">
      <c r="A22" s="146"/>
      <c r="B22" s="146"/>
      <c r="C22" s="370"/>
      <c r="D22" s="146"/>
      <c r="E22" s="71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349"/>
      <c r="Q22" s="156"/>
    </row>
    <row r="23" spans="1:17">
      <c r="A23" s="146"/>
      <c r="B23" s="574"/>
      <c r="C23" s="370"/>
      <c r="D23" s="146"/>
      <c r="E23" s="71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349"/>
      <c r="Q23" s="156"/>
    </row>
    <row r="24" spans="1:17">
      <c r="A24" s="146"/>
      <c r="B24" s="574"/>
      <c r="C24" s="370"/>
      <c r="D24" s="146"/>
      <c r="E24" s="71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349"/>
    </row>
    <row r="25" spans="1:17">
      <c r="A25" s="146"/>
      <c r="B25" s="169" t="str">
        <f t="array" aca="1" ref="B25" ca="1">HYPERLINK(CELL("адрес",БДР!$A$1),"Перейти на лист БДР")</f>
        <v>Перейти на лист БДР</v>
      </c>
      <c r="C25" s="370"/>
      <c r="D25" s="146"/>
      <c r="E25" s="71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71"/>
    </row>
    <row r="26" spans="1:17">
      <c r="A26" s="146"/>
      <c r="B26" s="169" t="str">
        <f t="array" aca="1" ref="B26" ca="1">HYPERLINK(CELL("адрес",БДДС!$A$1),"Перейти на лист БДДС")</f>
        <v>Перейти на лист БДДС</v>
      </c>
      <c r="C26" s="370"/>
      <c r="D26" s="146"/>
      <c r="E26" s="71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71"/>
    </row>
    <row r="27" spans="1:17">
      <c r="A27" s="146"/>
      <c r="B27" s="169" t="str">
        <f t="array" aca="1" ref="B27" ca="1">HYPERLINK(CELL("адрес",Баланс!$A$1),"Перейти на лист Баланс")</f>
        <v>Перейти на лист Баланс</v>
      </c>
      <c r="C27" s="370"/>
      <c r="D27" s="146"/>
      <c r="E27" s="71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71"/>
    </row>
    <row r="28" spans="1:17">
      <c r="A28" s="146"/>
      <c r="B28" s="414" t="str">
        <f t="array" aca="1" ref="B28" ca="1">HYPERLINK(CELL("адрес",Дашборд_ИтогТабл!$A$1),"Перейти на лист Дашборд_1")</f>
        <v>Перейти на лист Дашборд_1</v>
      </c>
      <c r="C28" s="370"/>
      <c r="D28" s="146"/>
      <c r="E28" s="71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71"/>
    </row>
    <row r="29" spans="1:17">
      <c r="A29" s="146"/>
      <c r="B29" s="414" t="str">
        <f t="array" aca="1" ref="B29" ca="1">HYPERLINK(CELL("адрес",Дашборд_Основной!$A$1),"Перейти на лист Дашборд_Общий")</f>
        <v>Перейти на лист Дашборд_Общий</v>
      </c>
      <c r="C29" s="370"/>
      <c r="D29" s="146"/>
      <c r="E29" s="71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71"/>
    </row>
    <row r="30" spans="1:17">
      <c r="A30" s="146"/>
      <c r="B30" s="414" t="str">
        <f t="array" aca="1" ref="B30" ca="1">HYPERLINK(CELL("адрес",Дашборд_налоги!$A$1),"Перейти на лист Дашборд_Налоги")</f>
        <v>Перейти на лист Дашборд_Налоги</v>
      </c>
      <c r="C30" s="370"/>
      <c r="D30" s="146"/>
      <c r="E30" s="71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71"/>
    </row>
    <row r="31" spans="1:17">
      <c r="A31" s="146"/>
      <c r="B31" s="146"/>
      <c r="C31" s="370"/>
      <c r="D31" s="146"/>
      <c r="E31" s="71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71"/>
    </row>
    <row r="32" spans="1:17">
      <c r="A32" s="146"/>
      <c r="B32" s="146"/>
      <c r="C32" s="370"/>
      <c r="D32" s="146"/>
      <c r="E32" s="71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71"/>
    </row>
    <row r="33" spans="1:16">
      <c r="A33" s="146"/>
      <c r="B33" s="146"/>
      <c r="C33" s="370"/>
      <c r="D33" s="146"/>
      <c r="E33" s="71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71"/>
    </row>
    <row r="34" spans="1:16">
      <c r="A34" s="146"/>
      <c r="B34" s="146"/>
      <c r="C34" s="370"/>
      <c r="D34" s="146"/>
      <c r="E34" s="71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71"/>
    </row>
    <row r="35" spans="1:16">
      <c r="A35" s="146"/>
      <c r="B35" s="146"/>
      <c r="C35" s="370"/>
      <c r="D35" s="146"/>
      <c r="E35" s="71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71"/>
    </row>
    <row r="36" spans="1:16">
      <c r="A36" s="146"/>
      <c r="B36" s="146"/>
      <c r="C36" s="370"/>
      <c r="D36" s="146"/>
      <c r="E36" s="71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71"/>
    </row>
    <row r="59" spans="3:18">
      <c r="C59" s="367">
        <f>ROUND(НалИмущество!$D$19/1000,0)</f>
        <v>0</v>
      </c>
      <c r="D59" s="71">
        <f>ROUND(НалИмущество!$D$21/1000,0)</f>
        <v>0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 t="str">
        <f t="array" aca="1" ref="Q59" ca="1">HYPERLINK(CELL("адрес",НалИмущество!B19),"перейти")</f>
        <v>перейти</v>
      </c>
      <c r="R59" s="71" t="str">
        <f t="array" aca="1" ref="R59" ca="1">HYPERLINK(CELL("адрес",НалИмущество!B21),"перейти")</f>
        <v>перейти</v>
      </c>
    </row>
  </sheetData>
  <hyperlinks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theme="7" tint="0.39997558519241921"/>
    <outlinePr summaryRight="0"/>
    <pageSetUpPr fitToPage="1"/>
  </sheetPr>
  <dimension ref="A1:AA56"/>
  <sheetViews>
    <sheetView zoomScale="115" zoomScaleNormal="115" workbookViewId="0">
      <pane xSplit="4" ySplit="4" topLeftCell="G5" activePane="bottomRight" state="frozen"/>
      <selection activeCell="I1" sqref="I1"/>
      <selection pane="topRight" activeCell="I1" sqref="I1"/>
      <selection pane="bottomLeft" activeCell="I1" sqref="I1"/>
      <selection pane="bottomRight" activeCell="AE12" sqref="AE12"/>
    </sheetView>
  </sheetViews>
  <sheetFormatPr defaultRowHeight="15" outlineLevelCol="1"/>
  <cols>
    <col min="1" max="1" width="11.5703125" customWidth="1"/>
    <col min="2" max="2" width="27.7109375" style="2" customWidth="1"/>
    <col min="3" max="3" width="11" style="5" customWidth="1"/>
    <col min="4" max="4" width="11" customWidth="1"/>
    <col min="5" max="5" width="2.28515625" customWidth="1"/>
    <col min="16" max="16" width="1.8554687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27" ht="25.5">
      <c r="A1" s="654" t="s">
        <v>351</v>
      </c>
      <c r="B1" s="164"/>
      <c r="C1" s="184"/>
      <c r="D1" s="71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155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>
      <c r="A2" s="71" t="str">
        <f>Паспорт_ФМ_резидент!B7</f>
        <v>Разработка, производство, модернизация и реализация …</v>
      </c>
      <c r="B2" s="164"/>
      <c r="C2" s="184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59"/>
      <c r="Q2" s="156"/>
      <c r="R2" s="159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</row>
    <row r="3" spans="1:27" s="18" customFormat="1" ht="28.5">
      <c r="A3" s="78" t="s">
        <v>2</v>
      </c>
      <c r="B3" s="92" t="s">
        <v>3</v>
      </c>
      <c r="C3" s="127" t="s">
        <v>12</v>
      </c>
      <c r="D3" s="194" t="str">
        <f>CONCATENATE("Итого ",F3,"-",O3)</f>
        <v>Итого 2025-2034</v>
      </c>
      <c r="E3" s="152"/>
      <c r="F3" s="766"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671"/>
      <c r="Q3" s="157"/>
      <c r="R3" s="160">
        <v>2035</v>
      </c>
      <c r="S3" s="160">
        <f>R3+1</f>
        <v>2036</v>
      </c>
      <c r="T3" s="160">
        <f>S3+1</f>
        <v>2037</v>
      </c>
      <c r="U3" s="160">
        <f t="shared" si="0"/>
        <v>2038</v>
      </c>
      <c r="V3" s="160">
        <f t="shared" si="0"/>
        <v>2039</v>
      </c>
      <c r="W3" s="160">
        <f t="shared" si="0"/>
        <v>2040</v>
      </c>
      <c r="X3" s="160">
        <f t="shared" si="0"/>
        <v>2041</v>
      </c>
      <c r="Y3" s="160">
        <f t="shared" si="0"/>
        <v>2042</v>
      </c>
      <c r="Z3" s="160">
        <f t="shared" si="0"/>
        <v>2043</v>
      </c>
      <c r="AA3" s="160">
        <f t="shared" si="0"/>
        <v>2044</v>
      </c>
    </row>
    <row r="4" spans="1:27" ht="8.1" customHeight="1">
      <c r="A4" s="128"/>
      <c r="B4" s="25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6"/>
      <c r="R4" s="108"/>
      <c r="S4" s="108"/>
      <c r="T4" s="108"/>
      <c r="U4" s="108"/>
      <c r="V4" s="108"/>
      <c r="W4" s="108"/>
      <c r="X4" s="108"/>
      <c r="Y4" s="108"/>
      <c r="Z4" s="108"/>
      <c r="AA4" s="108"/>
    </row>
    <row r="5" spans="1:27">
      <c r="A5" s="251" t="s">
        <v>174</v>
      </c>
      <c r="B5" s="92"/>
      <c r="C5" s="78"/>
      <c r="D5" s="78"/>
      <c r="E5" s="71"/>
      <c r="F5" s="78"/>
      <c r="G5" s="78"/>
      <c r="H5" s="78"/>
      <c r="I5" s="78"/>
      <c r="J5" s="78"/>
      <c r="K5" s="78"/>
      <c r="L5" s="78"/>
      <c r="M5" s="78"/>
      <c r="N5" s="78"/>
      <c r="O5" s="78"/>
      <c r="P5" s="633"/>
      <c r="Q5" s="156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6" spans="1:27" ht="29.25">
      <c r="A6" s="252" t="s">
        <v>178</v>
      </c>
      <c r="B6" s="178" t="e">
        <f ca="1">CONCATENATE("DCF 10 лет при ставке дисконтирования ",ROUND(D11*100,2),"%")</f>
        <v>#DIV/0!</v>
      </c>
      <c r="C6" s="264" t="s">
        <v>19</v>
      </c>
      <c r="D6" s="268" t="e">
        <f ca="1">XNPV(D11,F31:O31,F28:O28)</f>
        <v>#DIV/0!</v>
      </c>
      <c r="E6" s="71"/>
      <c r="F6" s="244" t="e">
        <f ca="1">XNPV($D$11,$F$31:F31,$F$28:F28)</f>
        <v>#DIV/0!</v>
      </c>
      <c r="G6" s="244" t="e">
        <f ca="1">XNPV($D$11,$F$31:G31,$F$28:G28)</f>
        <v>#DIV/0!</v>
      </c>
      <c r="H6" s="244" t="e">
        <f ca="1">XNPV($D$11,$F$31:H31,$F$28:H28)</f>
        <v>#DIV/0!</v>
      </c>
      <c r="I6" s="244" t="e">
        <f ca="1">XNPV($D$11,$F$31:I31,$F$28:I28)</f>
        <v>#DIV/0!</v>
      </c>
      <c r="J6" s="244" t="e">
        <f ca="1">XNPV($D$11,$F$31:J31,$F$28:J28)</f>
        <v>#DIV/0!</v>
      </c>
      <c r="K6" s="244" t="e">
        <f ca="1">XNPV($D$11,$F$31:K31,$F$28:K28)</f>
        <v>#DIV/0!</v>
      </c>
      <c r="L6" s="244" t="e">
        <f ca="1">XNPV($D$11,$F$31:L31,$F$28:L28)</f>
        <v>#DIV/0!</v>
      </c>
      <c r="M6" s="244" t="e">
        <f ca="1">XNPV($D$11,$F$31:M31,$F$28:M28)</f>
        <v>#DIV/0!</v>
      </c>
      <c r="N6" s="244" t="e">
        <f ca="1">XNPV($D$11,$F$31:N31,$F$28:N28)</f>
        <v>#DIV/0!</v>
      </c>
      <c r="O6" s="244" t="e">
        <f ca="1">XNPV($D$11,$F$31:O31,$F$28:O28)</f>
        <v>#DIV/0!</v>
      </c>
      <c r="P6" s="349"/>
      <c r="Q6" s="156"/>
      <c r="R6" s="161"/>
      <c r="S6" s="161"/>
      <c r="T6" s="161"/>
      <c r="U6" s="161"/>
      <c r="V6" s="161"/>
      <c r="W6" s="161"/>
      <c r="X6" s="161"/>
      <c r="Y6" s="161"/>
      <c r="Z6" s="161"/>
      <c r="AA6" s="161"/>
    </row>
    <row r="7" spans="1:27">
      <c r="A7" s="253"/>
      <c r="B7" s="178" t="s">
        <v>669</v>
      </c>
      <c r="C7" s="265" t="s">
        <v>131</v>
      </c>
      <c r="D7" s="269">
        <f ca="1">SUM(F7:O7)+1</f>
        <v>5</v>
      </c>
      <c r="E7" s="71"/>
      <c r="F7" s="17">
        <f t="shared" ref="F7:O7" ca="1" si="2">IF(F32&lt;0,1,0)</f>
        <v>1</v>
      </c>
      <c r="G7" s="17">
        <f t="shared" ca="1" si="2"/>
        <v>1</v>
      </c>
      <c r="H7" s="17">
        <f t="shared" ca="1" si="2"/>
        <v>1</v>
      </c>
      <c r="I7" s="17">
        <f t="shared" ca="1" si="2"/>
        <v>1</v>
      </c>
      <c r="J7" s="17">
        <f t="shared" ca="1" si="2"/>
        <v>0</v>
      </c>
      <c r="K7" s="17">
        <f t="shared" ca="1" si="2"/>
        <v>0</v>
      </c>
      <c r="L7" s="17">
        <f t="shared" ca="1" si="2"/>
        <v>0</v>
      </c>
      <c r="M7" s="17">
        <f t="shared" ca="1" si="2"/>
        <v>0</v>
      </c>
      <c r="N7" s="17">
        <f t="shared" ca="1" si="2"/>
        <v>0</v>
      </c>
      <c r="O7" s="17">
        <f t="shared" ca="1" si="2"/>
        <v>0</v>
      </c>
      <c r="P7" s="17"/>
      <c r="Q7" s="156"/>
      <c r="R7" s="161"/>
      <c r="S7" s="161"/>
      <c r="T7" s="161"/>
      <c r="U7" s="161"/>
      <c r="V7" s="161"/>
      <c r="W7" s="161"/>
      <c r="X7" s="161"/>
      <c r="Y7" s="161"/>
      <c r="Z7" s="161"/>
      <c r="AA7" s="161"/>
    </row>
    <row r="8" spans="1:27" ht="29.25">
      <c r="A8" s="253"/>
      <c r="B8" s="178" t="s">
        <v>670</v>
      </c>
      <c r="C8" s="265" t="s">
        <v>131</v>
      </c>
      <c r="D8" s="269" t="e">
        <f ca="1">SUM(F8:O8)+1</f>
        <v>#DIV/0!</v>
      </c>
      <c r="E8" s="71"/>
      <c r="F8" s="17" t="e">
        <f t="shared" ref="F8:O8" ca="1" si="3">IF(F6&lt;0,1,0)</f>
        <v>#DIV/0!</v>
      </c>
      <c r="G8" s="17" t="e">
        <f t="shared" ca="1" si="3"/>
        <v>#DIV/0!</v>
      </c>
      <c r="H8" s="17" t="e">
        <f t="shared" ca="1" si="3"/>
        <v>#DIV/0!</v>
      </c>
      <c r="I8" s="17" t="e">
        <f t="shared" ca="1" si="3"/>
        <v>#DIV/0!</v>
      </c>
      <c r="J8" s="17" t="e">
        <f t="shared" ca="1" si="3"/>
        <v>#DIV/0!</v>
      </c>
      <c r="K8" s="17" t="e">
        <f t="shared" ca="1" si="3"/>
        <v>#DIV/0!</v>
      </c>
      <c r="L8" s="17" t="e">
        <f t="shared" ca="1" si="3"/>
        <v>#DIV/0!</v>
      </c>
      <c r="M8" s="17" t="e">
        <f t="shared" ca="1" si="3"/>
        <v>#DIV/0!</v>
      </c>
      <c r="N8" s="17" t="e">
        <f t="shared" ca="1" si="3"/>
        <v>#DIV/0!</v>
      </c>
      <c r="O8" s="17" t="e">
        <f t="shared" ca="1" si="3"/>
        <v>#DIV/0!</v>
      </c>
      <c r="P8" s="17"/>
      <c r="Q8" s="156"/>
      <c r="R8" s="161"/>
      <c r="S8" s="161"/>
      <c r="T8" s="161"/>
      <c r="U8" s="161"/>
      <c r="V8" s="161"/>
      <c r="W8" s="161"/>
      <c r="X8" s="161"/>
      <c r="Y8" s="161"/>
      <c r="Z8" s="161"/>
      <c r="AA8" s="161"/>
    </row>
    <row r="9" spans="1:27" ht="43.5">
      <c r="A9" s="252" t="s">
        <v>180</v>
      </c>
      <c r="B9" s="178" t="s">
        <v>671</v>
      </c>
      <c r="C9" s="265" t="s">
        <v>27</v>
      </c>
      <c r="D9" s="270">
        <f ca="1">XIRR(F31:O31,F28:O28)</f>
        <v>0.2976349651813508</v>
      </c>
      <c r="E9" s="71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633"/>
      <c r="Q9" s="156"/>
      <c r="R9" s="161"/>
      <c r="S9" s="161"/>
      <c r="T9" s="161"/>
      <c r="U9" s="161"/>
      <c r="V9" s="161"/>
      <c r="W9" s="161"/>
      <c r="X9" s="161"/>
      <c r="Y9" s="161"/>
      <c r="Z9" s="161"/>
      <c r="AA9" s="161"/>
    </row>
    <row r="10" spans="1:27" ht="42.75">
      <c r="A10" s="254"/>
      <c r="B10" s="259" t="e">
        <f ca="1">CONCATENATE("PI - индекс доходности при ставке дисконтирования ",ROUND(D11*100,2),"%")</f>
        <v>#DIV/0!</v>
      </c>
      <c r="C10" s="265" t="s">
        <v>115</v>
      </c>
      <c r="D10" s="271" t="e">
        <f ca="1">D6/-D30</f>
        <v>#DIV/0!</v>
      </c>
      <c r="E10" s="71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633"/>
      <c r="Q10" s="156"/>
      <c r="R10" s="161"/>
      <c r="S10" s="161"/>
      <c r="T10" s="161"/>
      <c r="U10" s="161"/>
      <c r="V10" s="161"/>
      <c r="W10" s="161"/>
      <c r="X10" s="161"/>
      <c r="Y10" s="161"/>
      <c r="Z10" s="161"/>
      <c r="AA10" s="161"/>
    </row>
    <row r="11" spans="1:27">
      <c r="A11" s="221" t="str">
        <f t="array" aca="1" ref="A11" ca="1">HYPERLINK(CELL("адрес",Макро!F17),"источник")</f>
        <v>источник</v>
      </c>
      <c r="B11" s="361" t="s">
        <v>177</v>
      </c>
      <c r="C11" s="186" t="s">
        <v>27</v>
      </c>
      <c r="D11" s="596" t="e">
        <f ca="1">Макро!$F$17</f>
        <v>#DIV/0!</v>
      </c>
      <c r="E11" s="71"/>
      <c r="F11" s="246"/>
      <c r="G11" s="245"/>
      <c r="H11" s="245"/>
      <c r="I11" s="245"/>
      <c r="J11" s="245"/>
      <c r="K11" s="245"/>
      <c r="L11" s="245"/>
      <c r="M11" s="245"/>
      <c r="N11" s="245"/>
      <c r="O11" s="245"/>
      <c r="P11" s="633"/>
      <c r="Q11" s="156"/>
      <c r="R11" s="161"/>
      <c r="S11" s="161"/>
      <c r="T11" s="161"/>
      <c r="U11" s="161"/>
      <c r="V11" s="161"/>
      <c r="W11" s="161"/>
      <c r="X11" s="161"/>
      <c r="Y11" s="161"/>
      <c r="Z11" s="161"/>
      <c r="AA11" s="161"/>
    </row>
    <row r="12" spans="1:27">
      <c r="A12" s="254"/>
      <c r="B12" s="594"/>
      <c r="C12" s="245"/>
      <c r="D12" s="245"/>
      <c r="E12" s="71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633"/>
      <c r="Q12" s="156"/>
      <c r="R12" s="161"/>
      <c r="S12" s="161"/>
      <c r="T12" s="161"/>
      <c r="U12" s="161"/>
      <c r="V12" s="161"/>
      <c r="W12" s="161"/>
      <c r="X12" s="161"/>
      <c r="Y12" s="161"/>
      <c r="Z12" s="161"/>
      <c r="AA12" s="161"/>
    </row>
    <row r="13" spans="1:27">
      <c r="A13" s="254"/>
      <c r="B13" s="594"/>
      <c r="C13" s="245"/>
      <c r="D13" s="245"/>
      <c r="E13" s="71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633"/>
      <c r="Q13" s="156"/>
      <c r="R13" s="161"/>
      <c r="S13" s="161"/>
      <c r="T13" s="161"/>
      <c r="U13" s="161"/>
      <c r="V13" s="161"/>
      <c r="W13" s="161"/>
      <c r="X13" s="161"/>
      <c r="Y13" s="161"/>
      <c r="Z13" s="161"/>
      <c r="AA13" s="161"/>
    </row>
    <row r="14" spans="1:27">
      <c r="A14" s="254"/>
      <c r="B14" s="594"/>
      <c r="C14" s="245"/>
      <c r="D14" s="245"/>
      <c r="E14" s="71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633"/>
      <c r="Q14" s="156"/>
      <c r="R14" s="161"/>
      <c r="S14" s="161"/>
      <c r="T14" s="161"/>
      <c r="U14" s="161"/>
      <c r="V14" s="161"/>
      <c r="W14" s="161"/>
      <c r="X14" s="161"/>
      <c r="Y14" s="161"/>
      <c r="Z14" s="161"/>
      <c r="AA14" s="161"/>
    </row>
    <row r="15" spans="1:27">
      <c r="A15" s="254"/>
      <c r="B15" s="594"/>
      <c r="C15" s="245"/>
      <c r="D15" s="245"/>
      <c r="E15" s="71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633"/>
      <c r="Q15" s="156"/>
      <c r="R15" s="161"/>
      <c r="S15" s="161"/>
      <c r="T15" s="161"/>
      <c r="U15" s="161"/>
      <c r="V15" s="161"/>
      <c r="W15" s="161"/>
      <c r="X15" s="161"/>
      <c r="Y15" s="161"/>
      <c r="Z15" s="161"/>
      <c r="AA15" s="161"/>
    </row>
    <row r="16" spans="1:27">
      <c r="A16" s="254"/>
      <c r="B16" s="594"/>
      <c r="C16" s="245"/>
      <c r="D16" s="245"/>
      <c r="E16" s="71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633"/>
      <c r="Q16" s="156"/>
      <c r="R16" s="161"/>
      <c r="S16" s="161"/>
      <c r="T16" s="161"/>
      <c r="U16" s="161"/>
      <c r="V16" s="161"/>
      <c r="W16" s="161"/>
      <c r="X16" s="161"/>
      <c r="Y16" s="161"/>
      <c r="Z16" s="161"/>
      <c r="AA16" s="161"/>
    </row>
    <row r="17" spans="1:27">
      <c r="A17" s="254"/>
      <c r="B17" s="594"/>
      <c r="C17" s="245"/>
      <c r="D17" s="245"/>
      <c r="E17" s="71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633"/>
      <c r="Q17" s="156"/>
      <c r="R17" s="161"/>
      <c r="S17" s="161"/>
      <c r="T17" s="161"/>
      <c r="U17" s="161"/>
      <c r="V17" s="161"/>
      <c r="W17" s="161"/>
      <c r="X17" s="161"/>
      <c r="Y17" s="161"/>
      <c r="Z17" s="161"/>
      <c r="AA17" s="161"/>
    </row>
    <row r="18" spans="1:27">
      <c r="A18" s="254"/>
      <c r="B18" s="594"/>
      <c r="C18" s="245"/>
      <c r="D18" s="245"/>
      <c r="E18" s="71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633"/>
      <c r="Q18" s="156"/>
      <c r="R18" s="161"/>
      <c r="S18" s="161"/>
      <c r="T18" s="161"/>
      <c r="U18" s="161"/>
      <c r="V18" s="161"/>
      <c r="W18" s="161"/>
      <c r="X18" s="161"/>
      <c r="Y18" s="161"/>
      <c r="Z18" s="161"/>
      <c r="AA18" s="161"/>
    </row>
    <row r="19" spans="1:27">
      <c r="A19" s="254"/>
      <c r="B19" s="594"/>
      <c r="C19" s="245"/>
      <c r="D19" s="245"/>
      <c r="E19" s="71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633"/>
      <c r="Q19" s="156"/>
      <c r="R19" s="161"/>
      <c r="S19" s="161"/>
      <c r="T19" s="161"/>
      <c r="U19" s="161"/>
      <c r="V19" s="161"/>
      <c r="W19" s="161"/>
      <c r="X19" s="161"/>
      <c r="Y19" s="161"/>
      <c r="Z19" s="161"/>
      <c r="AA19" s="161"/>
    </row>
    <row r="20" spans="1:27">
      <c r="A20" s="254"/>
      <c r="B20" s="594"/>
      <c r="C20" s="245"/>
      <c r="D20" s="245"/>
      <c r="E20" s="71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633"/>
      <c r="Q20" s="156"/>
      <c r="R20" s="161"/>
      <c r="S20" s="161"/>
      <c r="T20" s="161"/>
      <c r="U20" s="161"/>
      <c r="V20" s="161"/>
      <c r="W20" s="161"/>
      <c r="X20" s="161"/>
      <c r="Y20" s="161"/>
      <c r="Z20" s="161"/>
      <c r="AA20" s="161"/>
    </row>
    <row r="21" spans="1:27">
      <c r="A21" s="254"/>
      <c r="B21" s="594"/>
      <c r="C21" s="245"/>
      <c r="D21" s="245"/>
      <c r="E21" s="71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633"/>
      <c r="Q21" s="156"/>
      <c r="R21" s="161"/>
      <c r="S21" s="161"/>
      <c r="T21" s="161"/>
      <c r="U21" s="161"/>
      <c r="V21" s="161"/>
      <c r="W21" s="161"/>
      <c r="X21" s="161"/>
      <c r="Y21" s="161"/>
      <c r="Z21" s="161"/>
      <c r="AA21" s="161"/>
    </row>
    <row r="22" spans="1:27">
      <c r="A22" s="254"/>
      <c r="B22" s="594"/>
      <c r="C22" s="245"/>
      <c r="D22" s="245"/>
      <c r="E22" s="71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633"/>
      <c r="Q22" s="156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1:27">
      <c r="A23" s="254"/>
      <c r="B23" s="594"/>
      <c r="C23" s="245"/>
      <c r="D23" s="245"/>
      <c r="E23" s="71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633"/>
      <c r="Q23" s="156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1:27">
      <c r="A24" s="254"/>
      <c r="B24" s="594"/>
      <c r="C24" s="245"/>
      <c r="D24" s="245"/>
      <c r="E24" s="71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633"/>
      <c r="Q24" s="156"/>
      <c r="R24" s="161"/>
      <c r="S24" s="161"/>
      <c r="T24" s="161"/>
      <c r="U24" s="161"/>
      <c r="V24" s="161"/>
      <c r="W24" s="161"/>
      <c r="X24" s="161"/>
      <c r="Y24" s="161"/>
      <c r="Z24" s="161"/>
      <c r="AA24" s="161"/>
    </row>
    <row r="25" spans="1:27">
      <c r="A25" s="254"/>
      <c r="B25" s="594"/>
      <c r="C25" s="245"/>
      <c r="D25" s="245"/>
      <c r="E25" s="71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633"/>
      <c r="Q25" s="156"/>
      <c r="R25" s="161"/>
      <c r="S25" s="161"/>
      <c r="T25" s="161"/>
      <c r="U25" s="161"/>
      <c r="V25" s="161"/>
      <c r="W25" s="161"/>
      <c r="X25" s="161"/>
      <c r="Y25" s="161"/>
      <c r="Z25" s="161"/>
      <c r="AA25" s="161"/>
    </row>
    <row r="26" spans="1:27">
      <c r="A26" s="254"/>
      <c r="B26" s="594"/>
      <c r="C26" s="245"/>
      <c r="D26" s="245"/>
      <c r="E26" s="71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633"/>
      <c r="Q26" s="156"/>
      <c r="R26" s="161"/>
      <c r="S26" s="161"/>
      <c r="T26" s="161"/>
      <c r="U26" s="161"/>
      <c r="V26" s="161"/>
      <c r="W26" s="161"/>
      <c r="X26" s="161"/>
      <c r="Y26" s="161"/>
      <c r="Z26" s="161"/>
      <c r="AA26" s="161"/>
    </row>
    <row r="27" spans="1:27">
      <c r="A27" s="254"/>
      <c r="B27" s="594"/>
      <c r="C27" s="245"/>
      <c r="D27" s="245"/>
      <c r="E27" s="71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633"/>
      <c r="Q27" s="156"/>
      <c r="R27" s="161"/>
      <c r="S27" s="161"/>
      <c r="T27" s="161"/>
      <c r="U27" s="161"/>
      <c r="V27" s="161"/>
      <c r="W27" s="161"/>
      <c r="X27" s="161"/>
      <c r="Y27" s="161"/>
      <c r="Z27" s="161"/>
      <c r="AA27" s="161"/>
    </row>
    <row r="28" spans="1:27" s="16" customFormat="1">
      <c r="A28" s="483"/>
      <c r="B28" s="489" t="s">
        <v>176</v>
      </c>
      <c r="C28" s="502"/>
      <c r="D28" s="483"/>
      <c r="E28" s="420"/>
      <c r="F28" s="429">
        <v>46022</v>
      </c>
      <c r="G28" s="429">
        <v>46387</v>
      </c>
      <c r="H28" s="429">
        <v>46752</v>
      </c>
      <c r="I28" s="429">
        <v>47118</v>
      </c>
      <c r="J28" s="429">
        <v>47483</v>
      </c>
      <c r="K28" s="429">
        <v>47848</v>
      </c>
      <c r="L28" s="429">
        <v>48213</v>
      </c>
      <c r="M28" s="429">
        <v>48579</v>
      </c>
      <c r="N28" s="429">
        <v>48944</v>
      </c>
      <c r="O28" s="429">
        <v>49309</v>
      </c>
      <c r="P28" s="686"/>
      <c r="Q28" s="156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1:27" ht="30">
      <c r="A29" s="221" t="str">
        <f t="array" aca="1" ref="A29" ca="1">HYPERLINK(CELL("адрес",БДДСбезЛьгот!A27),"источник")</f>
        <v>источник</v>
      </c>
      <c r="B29" s="91" t="s">
        <v>882</v>
      </c>
      <c r="C29" s="264" t="s">
        <v>19</v>
      </c>
      <c r="D29" s="394">
        <f ca="1">SUM(F29:O29)</f>
        <v>27063.993107764167</v>
      </c>
      <c r="E29" s="71"/>
      <c r="F29" s="244">
        <f ca="1">БДДСбезЛьгот!F27</f>
        <v>-6416.372000000003</v>
      </c>
      <c r="G29" s="244">
        <f ca="1">БДДСбезЛьгот!G27</f>
        <v>-3838.7688320000016</v>
      </c>
      <c r="H29" s="244">
        <f ca="1">БДДСбезЛьгот!H27</f>
        <v>-136.55908659199486</v>
      </c>
      <c r="I29" s="244">
        <f ca="1">БДДСбезЛьгот!I27</f>
        <v>4812.2472365588765</v>
      </c>
      <c r="J29" s="244">
        <f ca="1">БДДСбезЛьгот!J27</f>
        <v>7161.5166286861349</v>
      </c>
      <c r="K29" s="244">
        <f ca="1">БДДСбезЛьгот!K27</f>
        <v>6575.3413182797667</v>
      </c>
      <c r="L29" s="244">
        <f ca="1">БДДСбезЛьгот!L27</f>
        <v>5916.8513808261196</v>
      </c>
      <c r="M29" s="244">
        <f ca="1">БДДСбезЛьгот!M27</f>
        <v>5180.4176448239887</v>
      </c>
      <c r="N29" s="244">
        <f ca="1">БДДСбезЛьгот!N27</f>
        <v>4360.0325230725866</v>
      </c>
      <c r="O29" s="244">
        <f ca="1">БДДСбезЛьгот!O27</f>
        <v>3449.2862941086933</v>
      </c>
      <c r="P29" s="349"/>
      <c r="Q29" s="156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ht="30">
      <c r="A30" s="221" t="str">
        <f t="array" aca="1" ref="A30" ca="1">HYPERLINK(CELL("адрес",БДДСбезЛьгот!A38),"источник")</f>
        <v>источник</v>
      </c>
      <c r="B30" s="91" t="s">
        <v>883</v>
      </c>
      <c r="C30" s="264" t="s">
        <v>19</v>
      </c>
      <c r="D30" s="394">
        <f>SUM(F30:O30)</f>
        <v>0</v>
      </c>
      <c r="E30" s="71"/>
      <c r="F30" s="244">
        <f>БДДСбезЛьгот!F38</f>
        <v>0</v>
      </c>
      <c r="G30" s="244">
        <f>БДДСбезЛьгот!G38</f>
        <v>0</v>
      </c>
      <c r="H30" s="244">
        <f>БДДСбезЛьгот!H38</f>
        <v>0</v>
      </c>
      <c r="I30" s="244">
        <f>БДДСбезЛьгот!I38</f>
        <v>0</v>
      </c>
      <c r="J30" s="244">
        <f>БДДСбезЛьгот!J38</f>
        <v>0</v>
      </c>
      <c r="K30" s="244">
        <f>БДДСбезЛьгот!K38</f>
        <v>0</v>
      </c>
      <c r="L30" s="244">
        <f>БДДСбезЛьгот!L38</f>
        <v>0</v>
      </c>
      <c r="M30" s="244">
        <f>БДДСбезЛьгот!M38</f>
        <v>0</v>
      </c>
      <c r="N30" s="244">
        <f>БДДСбезЛьгот!N38</f>
        <v>0</v>
      </c>
      <c r="O30" s="244">
        <f>БДДСбезЛьгот!O38</f>
        <v>0</v>
      </c>
      <c r="P30" s="349"/>
      <c r="Q30" s="156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ht="28.5">
      <c r="A31" s="146"/>
      <c r="B31" s="361" t="s">
        <v>175</v>
      </c>
      <c r="C31" s="264" t="s">
        <v>19</v>
      </c>
      <c r="D31" s="268">
        <f ca="1">SUM(D29:D30)</f>
        <v>27063.993107764167</v>
      </c>
      <c r="E31" s="71"/>
      <c r="F31" s="268">
        <f ca="1">SUM(F29:F30)</f>
        <v>-6416.372000000003</v>
      </c>
      <c r="G31" s="268">
        <f t="shared" ref="G31:O31" ca="1" si="4">SUM(G29:G30)</f>
        <v>-3838.7688320000016</v>
      </c>
      <c r="H31" s="268">
        <f t="shared" ca="1" si="4"/>
        <v>-136.55908659199486</v>
      </c>
      <c r="I31" s="268">
        <f t="shared" ca="1" si="4"/>
        <v>4812.2472365588765</v>
      </c>
      <c r="J31" s="268">
        <f t="shared" ca="1" si="4"/>
        <v>7161.5166286861349</v>
      </c>
      <c r="K31" s="268">
        <f t="shared" ca="1" si="4"/>
        <v>6575.3413182797667</v>
      </c>
      <c r="L31" s="268">
        <f t="shared" ca="1" si="4"/>
        <v>5916.8513808261196</v>
      </c>
      <c r="M31" s="268">
        <f t="shared" ca="1" si="4"/>
        <v>5180.4176448239887</v>
      </c>
      <c r="N31" s="268">
        <f t="shared" ca="1" si="4"/>
        <v>4360.0325230725866</v>
      </c>
      <c r="O31" s="268">
        <f t="shared" ca="1" si="4"/>
        <v>3449.2862941086933</v>
      </c>
      <c r="P31" s="679"/>
      <c r="Q31" s="156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ht="30">
      <c r="A32" s="146"/>
      <c r="B32" s="595" t="s">
        <v>179</v>
      </c>
      <c r="C32" s="192"/>
      <c r="D32" s="146"/>
      <c r="E32" s="71"/>
      <c r="F32" s="244">
        <f ca="1">F31</f>
        <v>-6416.372000000003</v>
      </c>
      <c r="G32" s="244">
        <f ca="1">F32+G31</f>
        <v>-10255.140832000005</v>
      </c>
      <c r="H32" s="244">
        <f t="shared" ref="H32:O32" ca="1" si="5">G32+H31</f>
        <v>-10391.699918591999</v>
      </c>
      <c r="I32" s="244">
        <f t="shared" ca="1" si="5"/>
        <v>-5579.452682033123</v>
      </c>
      <c r="J32" s="244">
        <f t="shared" ca="1" si="5"/>
        <v>1582.063946653012</v>
      </c>
      <c r="K32" s="244">
        <f t="shared" ca="1" si="5"/>
        <v>8157.4052649327787</v>
      </c>
      <c r="L32" s="244">
        <f t="shared" ca="1" si="5"/>
        <v>14074.256645758898</v>
      </c>
      <c r="M32" s="244">
        <f t="shared" ca="1" si="5"/>
        <v>19254.674290582887</v>
      </c>
      <c r="N32" s="244">
        <f t="shared" ca="1" si="5"/>
        <v>23614.706813655474</v>
      </c>
      <c r="O32" s="244">
        <f t="shared" ca="1" si="5"/>
        <v>27063.993107764167</v>
      </c>
      <c r="P32" s="349"/>
      <c r="Q32" s="156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17">
      <c r="A33" s="146"/>
      <c r="B33" s="173"/>
      <c r="C33" s="192"/>
      <c r="D33" s="146"/>
      <c r="E33" s="71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349"/>
      <c r="Q33" s="156"/>
    </row>
    <row r="34" spans="1:17">
      <c r="A34" s="146"/>
      <c r="B34" s="173"/>
      <c r="C34" s="192"/>
      <c r="D34" s="146"/>
      <c r="E34" s="71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349"/>
      <c r="Q34" s="156"/>
    </row>
    <row r="35" spans="1:17">
      <c r="A35" s="146"/>
      <c r="B35" s="173"/>
      <c r="C35" s="192"/>
      <c r="D35" s="146"/>
      <c r="E35" s="71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349"/>
      <c r="Q35" s="156"/>
    </row>
    <row r="36" spans="1:17">
      <c r="A36" s="146"/>
      <c r="B36" s="173"/>
      <c r="C36" s="192"/>
      <c r="D36" s="146"/>
      <c r="E36" s="71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349"/>
      <c r="Q36" s="156"/>
    </row>
    <row r="37" spans="1:17">
      <c r="A37" s="146"/>
      <c r="B37" s="173"/>
      <c r="C37" s="192"/>
      <c r="D37" s="146"/>
      <c r="E37" s="71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349"/>
      <c r="Q37" s="156"/>
    </row>
    <row r="38" spans="1:17">
      <c r="A38" s="146"/>
      <c r="B38" s="173"/>
      <c r="C38" s="192"/>
      <c r="D38" s="146"/>
      <c r="E38" s="71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349"/>
      <c r="Q38" s="156"/>
    </row>
    <row r="39" spans="1:17">
      <c r="A39" s="146"/>
      <c r="B39" s="173"/>
      <c r="C39" s="192"/>
      <c r="D39" s="146"/>
      <c r="E39" s="71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349"/>
      <c r="Q39" s="156"/>
    </row>
    <row r="40" spans="1:17">
      <c r="A40" s="146"/>
      <c r="B40" s="173"/>
      <c r="C40" s="192"/>
      <c r="D40" s="146"/>
      <c r="E40" s="71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349"/>
      <c r="Q40" s="156"/>
    </row>
    <row r="41" spans="1:17">
      <c r="A41" s="146"/>
      <c r="B41" s="173"/>
      <c r="C41" s="192"/>
      <c r="D41" s="146"/>
      <c r="E41" s="71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349"/>
      <c r="Q41" s="156"/>
    </row>
    <row r="42" spans="1:17">
      <c r="A42" s="146"/>
      <c r="B42" s="173"/>
      <c r="C42" s="192"/>
      <c r="D42" s="146"/>
      <c r="E42" s="71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349"/>
      <c r="Q42" s="156"/>
    </row>
    <row r="43" spans="1:17">
      <c r="A43" s="146"/>
      <c r="B43" s="173"/>
      <c r="C43" s="192"/>
      <c r="D43" s="146"/>
      <c r="E43" s="71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349"/>
      <c r="Q43" s="156"/>
    </row>
    <row r="44" spans="1:17">
      <c r="A44" s="146"/>
      <c r="B44" s="173"/>
      <c r="C44" s="192"/>
      <c r="D44" s="146"/>
      <c r="E44" s="71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349"/>
      <c r="Q44" s="156"/>
    </row>
    <row r="45" spans="1:17">
      <c r="A45" s="146"/>
      <c r="B45" s="173"/>
      <c r="C45" s="192"/>
      <c r="D45" s="146"/>
      <c r="E45" s="71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349"/>
      <c r="Q45" s="156"/>
    </row>
    <row r="46" spans="1:17">
      <c r="A46" s="146"/>
      <c r="B46" s="173"/>
      <c r="C46" s="192"/>
      <c r="D46" s="146"/>
      <c r="E46" s="71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349"/>
      <c r="Q46" s="156"/>
    </row>
    <row r="47" spans="1:17">
      <c r="A47" s="146"/>
      <c r="B47" s="173"/>
      <c r="C47" s="192"/>
      <c r="D47" s="146"/>
      <c r="E47" s="71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349"/>
      <c r="Q47" s="156"/>
    </row>
    <row r="48" spans="1:17">
      <c r="A48" s="146"/>
      <c r="B48" s="173"/>
      <c r="C48" s="192"/>
      <c r="D48" s="146"/>
      <c r="E48" s="71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349"/>
      <c r="Q48" s="156"/>
    </row>
    <row r="49" spans="1:17">
      <c r="A49" s="146"/>
      <c r="B49" s="173"/>
      <c r="C49" s="192"/>
      <c r="D49" s="146"/>
      <c r="E49" s="71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349"/>
      <c r="Q49" s="156"/>
    </row>
    <row r="50" spans="1:17">
      <c r="A50" s="146"/>
      <c r="B50" s="173"/>
      <c r="C50" s="192"/>
      <c r="D50" s="146"/>
      <c r="E50" s="71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349"/>
      <c r="Q50" s="156"/>
    </row>
    <row r="51" spans="1:17">
      <c r="A51" s="146"/>
      <c r="B51" s="164"/>
      <c r="C51" s="184"/>
      <c r="D51" s="71"/>
      <c r="E51" s="71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349"/>
      <c r="Q51" s="156"/>
    </row>
    <row r="52" spans="1:17">
      <c r="A52" s="146"/>
      <c r="B52" s="164"/>
      <c r="C52" s="184"/>
      <c r="D52" s="71"/>
      <c r="E52" s="71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349"/>
      <c r="Q52" s="156"/>
    </row>
    <row r="53" spans="1:17">
      <c r="A53" s="146"/>
      <c r="B53" s="173"/>
      <c r="C53" s="192"/>
      <c r="D53" s="146"/>
      <c r="E53" s="71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349"/>
      <c r="Q53" s="156"/>
    </row>
    <row r="54" spans="1:17">
      <c r="A54" s="146"/>
      <c r="B54" s="173"/>
      <c r="C54" s="192"/>
      <c r="D54" s="146"/>
      <c r="E54" s="71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349"/>
      <c r="Q54" s="156"/>
    </row>
    <row r="55" spans="1:17" ht="15.75" thickBot="1">
      <c r="A55" s="132"/>
      <c r="B55" s="174"/>
      <c r="C55" s="187"/>
      <c r="D55" s="132"/>
      <c r="E55" s="71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71"/>
      <c r="Q55" s="156"/>
    </row>
    <row r="56" spans="1:17" ht="7.15" customHeight="1">
      <c r="A56" s="146"/>
      <c r="B56" s="173"/>
      <c r="C56" s="146"/>
      <c r="D56" s="146"/>
      <c r="E56" s="71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71"/>
      <c r="Q56" s="156"/>
    </row>
  </sheetData>
  <hyperlinks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&amp;C&amp;9Страница  &amp;P из &amp;N&amp;R&amp;G</oddFooter>
  </headerFooter>
  <ignoredErrors>
    <ignoredError sqref="G6:N6" formulaRange="1"/>
  </ignoredError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theme="7" tint="0.39997558519241921"/>
    <outlinePr summaryRight="0"/>
  </sheetPr>
  <dimension ref="A1:AD46"/>
  <sheetViews>
    <sheetView zoomScaleNormal="100" workbookViewId="0">
      <pane xSplit="4" ySplit="4" topLeftCell="E5" activePane="bottomRight" state="frozen"/>
      <selection activeCell="J32" sqref="J32"/>
      <selection pane="topRight" activeCell="J32" sqref="J32"/>
      <selection pane="bottomLeft" activeCell="J32" sqref="J32"/>
      <selection pane="bottomRight" activeCell="AF22" sqref="AF22"/>
    </sheetView>
  </sheetViews>
  <sheetFormatPr defaultRowHeight="15" outlineLevelCol="1"/>
  <cols>
    <col min="1" max="1" width="10.42578125" customWidth="1"/>
    <col min="2" max="2" width="33.42578125" customWidth="1"/>
    <col min="3" max="3" width="9.5703125" style="14" customWidth="1"/>
    <col min="4" max="4" width="11" style="6" customWidth="1"/>
    <col min="5" max="5" width="2.28515625" customWidth="1"/>
    <col min="6" max="6" width="10" bestFit="1" customWidth="1"/>
    <col min="15" max="15" width="13.85546875" customWidth="1"/>
    <col min="16" max="16" width="2.14062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27.4" customHeight="1">
      <c r="A1" s="654" t="s">
        <v>298</v>
      </c>
      <c r="B1" s="71"/>
      <c r="C1" s="367"/>
      <c r="D1" s="124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354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>
      <c r="A2" s="71" t="str">
        <f>Паспорт_ФМ_резидент!B7</f>
        <v>Разработка, производство, модернизация и реализация …</v>
      </c>
      <c r="B2" s="71"/>
      <c r="C2" s="367"/>
      <c r="D2" s="124"/>
      <c r="E2" s="71"/>
      <c r="F2" s="347">
        <v>1</v>
      </c>
      <c r="G2" s="347">
        <v>2</v>
      </c>
      <c r="H2" s="347">
        <v>3</v>
      </c>
      <c r="I2" s="347">
        <v>4</v>
      </c>
      <c r="J2" s="347">
        <v>5</v>
      </c>
      <c r="K2" s="347">
        <v>6</v>
      </c>
      <c r="L2" s="347">
        <v>7</v>
      </c>
      <c r="M2" s="347">
        <v>8</v>
      </c>
      <c r="N2" s="347">
        <v>9</v>
      </c>
      <c r="O2" s="347">
        <v>10</v>
      </c>
      <c r="P2" s="355"/>
      <c r="Q2" s="156"/>
      <c r="R2" s="355">
        <v>11</v>
      </c>
      <c r="S2" s="347">
        <f>R2+1</f>
        <v>12</v>
      </c>
      <c r="T2" s="347">
        <f>S2+1</f>
        <v>13</v>
      </c>
      <c r="U2" s="347">
        <f t="shared" ref="U2:AA3" si="0">T2+1</f>
        <v>14</v>
      </c>
      <c r="V2" s="347">
        <f t="shared" si="0"/>
        <v>15</v>
      </c>
      <c r="W2" s="347">
        <f t="shared" si="0"/>
        <v>16</v>
      </c>
      <c r="X2" s="347">
        <f t="shared" si="0"/>
        <v>17</v>
      </c>
      <c r="Y2" s="347">
        <f t="shared" si="0"/>
        <v>18</v>
      </c>
      <c r="Z2" s="347">
        <f t="shared" si="0"/>
        <v>19</v>
      </c>
      <c r="AA2" s="347">
        <f t="shared" si="0"/>
        <v>20</v>
      </c>
      <c r="AB2" s="71"/>
      <c r="AC2" s="71"/>
      <c r="AD2" s="71"/>
    </row>
    <row r="3" spans="1:30" s="18" customFormat="1" ht="28.5">
      <c r="A3" s="127"/>
      <c r="B3" s="127" t="s">
        <v>3</v>
      </c>
      <c r="C3" s="127" t="s">
        <v>12</v>
      </c>
      <c r="D3" s="194" t="str">
        <f>CONCATENATE("Итого ",F3,"-",O3)</f>
        <v>Итого 2025-2034</v>
      </c>
      <c r="E3" s="152"/>
      <c r="F3" s="766"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671"/>
      <c r="Q3" s="157"/>
      <c r="R3" s="160">
        <v>2035</v>
      </c>
      <c r="S3" s="160">
        <f>R3+1</f>
        <v>2036</v>
      </c>
      <c r="T3" s="160">
        <f>S3+1</f>
        <v>2037</v>
      </c>
      <c r="U3" s="160">
        <f t="shared" si="0"/>
        <v>2038</v>
      </c>
      <c r="V3" s="160">
        <f t="shared" si="0"/>
        <v>2039</v>
      </c>
      <c r="W3" s="160">
        <f t="shared" si="0"/>
        <v>2040</v>
      </c>
      <c r="X3" s="160">
        <f t="shared" si="0"/>
        <v>2041</v>
      </c>
      <c r="Y3" s="160">
        <f t="shared" si="0"/>
        <v>2042</v>
      </c>
      <c r="Z3" s="160">
        <f t="shared" si="0"/>
        <v>2043</v>
      </c>
      <c r="AA3" s="160">
        <f t="shared" si="0"/>
        <v>2044</v>
      </c>
      <c r="AB3" s="152"/>
      <c r="AC3" s="152"/>
      <c r="AD3" s="152"/>
    </row>
    <row r="4" spans="1:30" ht="8.1" customHeight="1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6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>
      <c r="A5" s="221" t="str">
        <f t="array" aca="1" ref="A5" ca="1">HYPERLINK(CELL("адрес",Выручка!A8),"источник")</f>
        <v>источник</v>
      </c>
      <c r="B5" s="357" t="s">
        <v>443</v>
      </c>
      <c r="C5" s="368" t="s">
        <v>19</v>
      </c>
      <c r="D5" s="348">
        <f>SUM(F5:O5)</f>
        <v>1558629.0695994112</v>
      </c>
      <c r="E5" s="71"/>
      <c r="F5" s="348">
        <f>Выручка!F8</f>
        <v>110000</v>
      </c>
      <c r="G5" s="348">
        <f>Выручка!G8</f>
        <v>120640</v>
      </c>
      <c r="H5" s="348">
        <f>Выручка!H8</f>
        <v>131955.20000000001</v>
      </c>
      <c r="I5" s="348">
        <f>Выручка!I8</f>
        <v>148482.04800000004</v>
      </c>
      <c r="J5" s="348">
        <f>Выручка!J8</f>
        <v>157930.90560000006</v>
      </c>
      <c r="K5" s="348">
        <f>Выручка!K8</f>
        <v>164248.14182400005</v>
      </c>
      <c r="L5" s="348">
        <f>Выручка!L8</f>
        <v>170818.06749696005</v>
      </c>
      <c r="M5" s="348">
        <f>Выручка!M8</f>
        <v>177650.79019683844</v>
      </c>
      <c r="N5" s="348">
        <f>Выручка!N8</f>
        <v>184756.82180471197</v>
      </c>
      <c r="O5" s="348">
        <f>Выручка!O8</f>
        <v>192147.09467690048</v>
      </c>
      <c r="P5" s="348"/>
      <c r="Q5" s="156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71"/>
      <c r="AC5" s="71"/>
      <c r="AD5" s="71"/>
    </row>
    <row r="6" spans="1:30" ht="28.5">
      <c r="A6" s="71"/>
      <c r="B6" s="357" t="s">
        <v>104</v>
      </c>
      <c r="C6" s="368" t="s">
        <v>19</v>
      </c>
      <c r="D6" s="348">
        <f>SUM(D7:D11)</f>
        <v>-1036807.4443782179</v>
      </c>
      <c r="E6" s="71"/>
      <c r="F6" s="348">
        <f t="shared" ref="F6:O6" si="2">SUM(F7:F11)</f>
        <v>-78740</v>
      </c>
      <c r="G6" s="348">
        <f t="shared" si="2"/>
        <v>-84381.440000000002</v>
      </c>
      <c r="H6" s="348">
        <f t="shared" si="2"/>
        <v>-89273.200639999995</v>
      </c>
      <c r="I6" s="348">
        <f t="shared" si="2"/>
        <v>-97802.842275839997</v>
      </c>
      <c r="J6" s="348">
        <f t="shared" si="2"/>
        <v>-102199.93200328706</v>
      </c>
      <c r="K6" s="348">
        <f t="shared" si="2"/>
        <v>-106800.06397787113</v>
      </c>
      <c r="L6" s="348">
        <f t="shared" si="2"/>
        <v>-111612.88077432793</v>
      </c>
      <c r="M6" s="348">
        <f t="shared" si="2"/>
        <v>-116648.49583993414</v>
      </c>
      <c r="N6" s="348">
        <f t="shared" si="2"/>
        <v>-121917.51709890403</v>
      </c>
      <c r="O6" s="348">
        <f t="shared" si="2"/>
        <v>-127431.0717680536</v>
      </c>
      <c r="P6" s="348"/>
      <c r="Q6" s="156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ht="30">
      <c r="A7" s="306" t="str">
        <f t="array" aca="1" ref="A7" ca="1">HYPERLINK(CELL("адрес",Себестоимость!A7),"источник")</f>
        <v>источник</v>
      </c>
      <c r="B7" s="358" t="s">
        <v>237</v>
      </c>
      <c r="C7" s="368" t="s">
        <v>19</v>
      </c>
      <c r="D7" s="372">
        <f>SUM(F7:O7)</f>
        <v>-619797.2775168058</v>
      </c>
      <c r="E7" s="71"/>
      <c r="F7" s="349">
        <f>-Себестоимость!F7</f>
        <v>-46000</v>
      </c>
      <c r="G7" s="349">
        <f>-Себестоимость!G7</f>
        <v>-49920</v>
      </c>
      <c r="H7" s="349">
        <f>-Себестоимость!H7</f>
        <v>-52998.399999999994</v>
      </c>
      <c r="I7" s="349">
        <f>-Себестоимость!I7</f>
        <v>-59617.792000000001</v>
      </c>
      <c r="J7" s="349">
        <f>-Себестоимость!J7</f>
        <v>-62002.503680000009</v>
      </c>
      <c r="K7" s="349">
        <f>-Себестоимость!K7</f>
        <v>-64482.603827200001</v>
      </c>
      <c r="L7" s="349">
        <f>-Себестоимость!L7</f>
        <v>-67061.907980288015</v>
      </c>
      <c r="M7" s="349">
        <f>-Себестоимость!M7</f>
        <v>-69744.384299499536</v>
      </c>
      <c r="N7" s="349">
        <f>-Себестоимость!N7</f>
        <v>-72534.159671479516</v>
      </c>
      <c r="O7" s="349">
        <f>-Себестоимость!O7</f>
        <v>-75435.526058338699</v>
      </c>
      <c r="P7" s="349"/>
      <c r="Q7" s="156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>
      <c r="A8" s="221" t="str">
        <f t="array" aca="1" ref="A8" ca="1">HYPERLINK(CELL("адрес",Ресурсы!A5),"источник")</f>
        <v>источник</v>
      </c>
      <c r="B8" s="358" t="s">
        <v>247</v>
      </c>
      <c r="C8" s="368" t="s">
        <v>19</v>
      </c>
      <c r="D8" s="372">
        <f>SUM(F8:O8)</f>
        <v>0</v>
      </c>
      <c r="E8" s="71"/>
      <c r="F8" s="349">
        <f>-Ресурсы!F5</f>
        <v>0</v>
      </c>
      <c r="G8" s="349">
        <f>-Ресурсы!G5</f>
        <v>0</v>
      </c>
      <c r="H8" s="349">
        <f>-Ресурсы!H5</f>
        <v>0</v>
      </c>
      <c r="I8" s="349">
        <f>-Ресурсы!I5</f>
        <v>0</v>
      </c>
      <c r="J8" s="349">
        <f>-Ресурсы!J5</f>
        <v>0</v>
      </c>
      <c r="K8" s="349">
        <f>-Ресурсы!K5</f>
        <v>0</v>
      </c>
      <c r="L8" s="349">
        <f>-Ресурсы!L5</f>
        <v>0</v>
      </c>
      <c r="M8" s="349">
        <f>-Ресурсы!M5</f>
        <v>0</v>
      </c>
      <c r="N8" s="349">
        <f>-Ресурсы!N5</f>
        <v>0</v>
      </c>
      <c r="O8" s="349">
        <f>-Ресурсы!O5</f>
        <v>0</v>
      </c>
      <c r="P8" s="349"/>
      <c r="Q8" s="156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ht="30">
      <c r="A9" s="221" t="str">
        <f t="array" aca="1" ref="A9" ca="1">HYPERLINK(CELL("адрес",Персонал!A30),"источник")</f>
        <v>источник</v>
      </c>
      <c r="B9" s="358" t="s">
        <v>464</v>
      </c>
      <c r="C9" s="264" t="s">
        <v>19</v>
      </c>
      <c r="D9" s="372">
        <f>SUM(F9:O9)</f>
        <v>-332967.41700070194</v>
      </c>
      <c r="E9" s="71"/>
      <c r="F9" s="135">
        <f>-Персонал!F30</f>
        <v>-25740</v>
      </c>
      <c r="G9" s="135">
        <f>-Персонал!G30</f>
        <v>-27181.440000000002</v>
      </c>
      <c r="H9" s="135">
        <f>-Персонал!H30</f>
        <v>-28703.600640000004</v>
      </c>
      <c r="I9" s="135">
        <f>-Персонал!I30</f>
        <v>-30311.002275840005</v>
      </c>
      <c r="J9" s="135">
        <f>-Персонал!J30</f>
        <v>-32008.418403287047</v>
      </c>
      <c r="K9" s="135">
        <f>-Персонал!K30</f>
        <v>-33800.88983387113</v>
      </c>
      <c r="L9" s="135">
        <f>-Персонал!L30</f>
        <v>-35693.739664567911</v>
      </c>
      <c r="M9" s="135">
        <f>-Персонал!M30</f>
        <v>-37692.589085783715</v>
      </c>
      <c r="N9" s="135">
        <f>-Персонал!N30</f>
        <v>-39803.374074587598</v>
      </c>
      <c r="O9" s="135">
        <f>-Персонал!O30</f>
        <v>-42032.363022764504</v>
      </c>
      <c r="P9" s="675"/>
      <c r="Q9" s="156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>
      <c r="A10" s="221" t="str">
        <f t="array" aca="1" ref="A10" ca="1">HYPERLINK(CELL("адрес",Инвестиции!A10),"источник")</f>
        <v>источник</v>
      </c>
      <c r="B10" s="358" t="s">
        <v>101</v>
      </c>
      <c r="C10" s="264" t="s">
        <v>19</v>
      </c>
      <c r="D10" s="372">
        <f>SUM(F10:O10)</f>
        <v>0</v>
      </c>
      <c r="E10" s="71"/>
      <c r="F10" s="135">
        <f>-Инвестиции!F10</f>
        <v>0</v>
      </c>
      <c r="G10" s="135">
        <f>-Инвестиции!G10</f>
        <v>0</v>
      </c>
      <c r="H10" s="135">
        <f>-Инвестиции!H10</f>
        <v>0</v>
      </c>
      <c r="I10" s="135">
        <f>-Инвестиции!I10</f>
        <v>0</v>
      </c>
      <c r="J10" s="135">
        <f>-Инвестиции!J10</f>
        <v>0</v>
      </c>
      <c r="K10" s="135">
        <f>-Инвестиции!K10</f>
        <v>0</v>
      </c>
      <c r="L10" s="135">
        <f>-Инвестиции!L10</f>
        <v>0</v>
      </c>
      <c r="M10" s="135">
        <f>-Инвестиции!M10</f>
        <v>0</v>
      </c>
      <c r="N10" s="135">
        <f>-Инвестиции!N10</f>
        <v>0</v>
      </c>
      <c r="O10" s="135">
        <f>-Инвестиции!O10</f>
        <v>0</v>
      </c>
      <c r="P10" s="675"/>
      <c r="Q10" s="156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>
      <c r="A11" s="356" t="str">
        <f t="array" aca="1" ref="A11" ca="1">HYPERLINK(CELL("адрес",ОбщПрРасходы!A5),"источник")</f>
        <v>источник</v>
      </c>
      <c r="B11" s="358" t="s">
        <v>99</v>
      </c>
      <c r="C11" s="264" t="s">
        <v>19</v>
      </c>
      <c r="D11" s="372">
        <f>SUM(F11:O11)</f>
        <v>-84042.749860710202</v>
      </c>
      <c r="E11" s="71"/>
      <c r="F11" s="135">
        <f>-ОбщПрРасходы!F5</f>
        <v>-7000</v>
      </c>
      <c r="G11" s="135">
        <f>-ОбщПрРасходы!G5</f>
        <v>-7280</v>
      </c>
      <c r="H11" s="135">
        <f>-ОбщПрРасходы!H5</f>
        <v>-7571.2000000000007</v>
      </c>
      <c r="I11" s="135">
        <f>-ОбщПрРасходы!I5</f>
        <v>-7874.0480000000007</v>
      </c>
      <c r="J11" s="135">
        <f>-ОбщПрРасходы!J5</f>
        <v>-8189.0099200000004</v>
      </c>
      <c r="K11" s="135">
        <f>-ОбщПрРасходы!K5</f>
        <v>-8516.5703168000018</v>
      </c>
      <c r="L11" s="135">
        <f>-ОбщПрРасходы!L5</f>
        <v>-8857.2331294720007</v>
      </c>
      <c r="M11" s="135">
        <f>-ОбщПрРасходы!M5</f>
        <v>-9211.5224546508816</v>
      </c>
      <c r="N11" s="135">
        <f>-ОбщПрРасходы!N5</f>
        <v>-9579.9833528369163</v>
      </c>
      <c r="O11" s="135">
        <f>-ОбщПрРасходы!O5</f>
        <v>-9963.1826869503948</v>
      </c>
      <c r="P11" s="675"/>
      <c r="Q11" s="156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ht="15.75" thickBot="1">
      <c r="A12" s="146"/>
      <c r="B12" s="359" t="s">
        <v>87</v>
      </c>
      <c r="C12" s="264" t="s">
        <v>19</v>
      </c>
      <c r="D12" s="350">
        <f>D5+D6</f>
        <v>521821.6252211933</v>
      </c>
      <c r="E12" s="71"/>
      <c r="F12" s="350">
        <f t="shared" ref="F12:O12" si="3">F5+F6</f>
        <v>31260</v>
      </c>
      <c r="G12" s="350">
        <f t="shared" si="3"/>
        <v>36258.559999999998</v>
      </c>
      <c r="H12" s="350">
        <f t="shared" si="3"/>
        <v>42681.999360000016</v>
      </c>
      <c r="I12" s="350">
        <f t="shared" si="3"/>
        <v>50679.205724160041</v>
      </c>
      <c r="J12" s="350">
        <f t="shared" si="3"/>
        <v>55730.973596712996</v>
      </c>
      <c r="K12" s="350">
        <f t="shared" si="3"/>
        <v>57448.077846128916</v>
      </c>
      <c r="L12" s="350">
        <f t="shared" si="3"/>
        <v>59205.186722632119</v>
      </c>
      <c r="M12" s="350">
        <f t="shared" si="3"/>
        <v>61002.294356904298</v>
      </c>
      <c r="N12" s="350">
        <f t="shared" si="3"/>
        <v>62839.304705807939</v>
      </c>
      <c r="O12" s="350">
        <f t="shared" si="3"/>
        <v>64716.022908846877</v>
      </c>
      <c r="P12" s="240"/>
      <c r="Q12" s="156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>
      <c r="A13" s="146"/>
      <c r="B13" s="360" t="s">
        <v>88</v>
      </c>
      <c r="C13" s="369" t="s">
        <v>27</v>
      </c>
      <c r="D13" s="373">
        <f>IFERROR(D12/D5,"-")</f>
        <v>0.33479526039849145</v>
      </c>
      <c r="E13" s="71"/>
      <c r="F13" s="351">
        <f>IFERROR(F12/F5,"-")</f>
        <v>0.2841818181818182</v>
      </c>
      <c r="G13" s="351">
        <f t="shared" ref="G13:O13" si="4">IFERROR(G12/G5,"-")</f>
        <v>0.30055172413793102</v>
      </c>
      <c r="H13" s="351">
        <f t="shared" si="4"/>
        <v>0.32345825977301396</v>
      </c>
      <c r="I13" s="351">
        <f t="shared" si="4"/>
        <v>0.34131537385691252</v>
      </c>
      <c r="J13" s="351">
        <f t="shared" si="4"/>
        <v>0.35288199852323887</v>
      </c>
      <c r="K13" s="351">
        <f t="shared" si="4"/>
        <v>0.34976394379966474</v>
      </c>
      <c r="L13" s="351">
        <f t="shared" si="4"/>
        <v>0.34659791900342019</v>
      </c>
      <c r="M13" s="351">
        <f t="shared" si="4"/>
        <v>0.34338318613338725</v>
      </c>
      <c r="N13" s="351">
        <f t="shared" si="4"/>
        <v>0.34011899583458471</v>
      </c>
      <c r="O13" s="351">
        <f t="shared" si="4"/>
        <v>0.33680458722349288</v>
      </c>
      <c r="P13" s="676"/>
      <c r="Q13" s="156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ht="28.5">
      <c r="A14" s="146"/>
      <c r="B14" s="361" t="s">
        <v>153</v>
      </c>
      <c r="C14" s="264" t="s">
        <v>19</v>
      </c>
      <c r="D14" s="348">
        <f>SUM(F14:O14)</f>
        <v>-442070.29339493386</v>
      </c>
      <c r="E14" s="71"/>
      <c r="F14" s="348">
        <f t="shared" ref="F14:O14" si="5">SUM(F15:F16)</f>
        <v>-34936</v>
      </c>
      <c r="G14" s="348">
        <f t="shared" si="5"/>
        <v>-36722.815999999999</v>
      </c>
      <c r="H14" s="348">
        <f t="shared" si="5"/>
        <v>-38602.909696000002</v>
      </c>
      <c r="I14" s="348">
        <f t="shared" si="5"/>
        <v>-40581.233278975997</v>
      </c>
      <c r="J14" s="348">
        <f t="shared" si="5"/>
        <v>-42663.00540819866</v>
      </c>
      <c r="K14" s="348">
        <f t="shared" si="5"/>
        <v>-44853.725699281793</v>
      </c>
      <c r="L14" s="348">
        <f t="shared" si="5"/>
        <v>-47159.190006194527</v>
      </c>
      <c r="M14" s="348">
        <f t="shared" si="5"/>
        <v>-49585.506541004499</v>
      </c>
      <c r="N14" s="348">
        <f t="shared" si="5"/>
        <v>-52139.112877542364</v>
      </c>
      <c r="O14" s="348">
        <f t="shared" si="5"/>
        <v>-54826.793887735999</v>
      </c>
      <c r="P14" s="348"/>
      <c r="Q14" s="156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ht="30">
      <c r="A15" s="221" t="str">
        <f t="array" aca="1" ref="A15" ca="1">HYPERLINK(CELL("адрес",Персонал!A31),"источник")</f>
        <v>источник</v>
      </c>
      <c r="B15" s="358" t="s">
        <v>155</v>
      </c>
      <c r="C15" s="264" t="s">
        <v>19</v>
      </c>
      <c r="D15" s="372">
        <f>SUM(F15:O15)</f>
        <v>-314805.55789157271</v>
      </c>
      <c r="E15" s="71"/>
      <c r="F15" s="135">
        <f>-Персонал!F31</f>
        <v>-24336</v>
      </c>
      <c r="G15" s="135">
        <f>-Персонал!G31</f>
        <v>-25698.815999999999</v>
      </c>
      <c r="H15" s="135">
        <f>-Персонал!H31</f>
        <v>-27137.949696</v>
      </c>
      <c r="I15" s="135">
        <f>-Персонал!I31</f>
        <v>-28657.674878975999</v>
      </c>
      <c r="J15" s="135">
        <f>-Персонал!J31</f>
        <v>-30262.504672198662</v>
      </c>
      <c r="K15" s="135">
        <f>-Персонал!K31</f>
        <v>-31957.204933841789</v>
      </c>
      <c r="L15" s="135">
        <f>-Персонал!L31</f>
        <v>-33746.808410136924</v>
      </c>
      <c r="M15" s="135">
        <f>-Персонал!M31</f>
        <v>-35636.62968110459</v>
      </c>
      <c r="N15" s="135">
        <f>-Персонал!N31</f>
        <v>-37632.280943246456</v>
      </c>
      <c r="O15" s="135">
        <f>-Персонал!O31</f>
        <v>-39739.688676068254</v>
      </c>
      <c r="P15" s="675"/>
      <c r="Q15" s="156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ht="30">
      <c r="A16" s="221" t="str">
        <f t="array" aca="1" ref="A16" ca="1">HYPERLINK(CELL("адрес",АдмРасходы!A5),"источник")</f>
        <v>источник</v>
      </c>
      <c r="B16" s="358" t="s">
        <v>154</v>
      </c>
      <c r="C16" s="264" t="s">
        <v>19</v>
      </c>
      <c r="D16" s="372">
        <f>SUM(F16:O16)</f>
        <v>-127264.73550336117</v>
      </c>
      <c r="E16" s="71"/>
      <c r="F16" s="135">
        <f>-АдмРасходы!F5</f>
        <v>-10600</v>
      </c>
      <c r="G16" s="135">
        <f>-АдмРасходы!G5</f>
        <v>-11024</v>
      </c>
      <c r="H16" s="135">
        <f>-АдмРасходы!H5</f>
        <v>-11464.96</v>
      </c>
      <c r="I16" s="135">
        <f>-АдмРасходы!I5</f>
        <v>-11923.558400000002</v>
      </c>
      <c r="J16" s="135">
        <f>-АдмРасходы!J5</f>
        <v>-12400.500736000002</v>
      </c>
      <c r="K16" s="135">
        <f>-АдмРасходы!K5</f>
        <v>-12896.520765440004</v>
      </c>
      <c r="L16" s="135">
        <f>-АдмРасходы!L5</f>
        <v>-13412.381596057603</v>
      </c>
      <c r="M16" s="135">
        <f>-АдмРасходы!M5</f>
        <v>-13948.876859899909</v>
      </c>
      <c r="N16" s="135">
        <f>-АдмРасходы!N5</f>
        <v>-14506.831934295906</v>
      </c>
      <c r="O16" s="135">
        <f>-АдмРасходы!O5</f>
        <v>-15087.105211667744</v>
      </c>
      <c r="P16" s="675"/>
      <c r="Q16" s="156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ht="15.75" thickBot="1">
      <c r="A17" s="146"/>
      <c r="B17" s="359" t="s">
        <v>89</v>
      </c>
      <c r="C17" s="264" t="s">
        <v>19</v>
      </c>
      <c r="D17" s="350">
        <f>D12+D14</f>
        <v>79751.33182625944</v>
      </c>
      <c r="E17" s="71"/>
      <c r="F17" s="350">
        <f t="shared" ref="F17:O17" si="6">F12+F14</f>
        <v>-3676</v>
      </c>
      <c r="G17" s="350">
        <f t="shared" si="6"/>
        <v>-464.25600000000122</v>
      </c>
      <c r="H17" s="350">
        <f t="shared" si="6"/>
        <v>4079.0896640000137</v>
      </c>
      <c r="I17" s="350">
        <f t="shared" si="6"/>
        <v>10097.972445184045</v>
      </c>
      <c r="J17" s="350">
        <f t="shared" si="6"/>
        <v>13067.968188514336</v>
      </c>
      <c r="K17" s="350">
        <f t="shared" si="6"/>
        <v>12594.352146847123</v>
      </c>
      <c r="L17" s="350">
        <f t="shared" si="6"/>
        <v>12045.996716437592</v>
      </c>
      <c r="M17" s="350">
        <f t="shared" si="6"/>
        <v>11416.787815899799</v>
      </c>
      <c r="N17" s="350">
        <f t="shared" si="6"/>
        <v>10700.191828265575</v>
      </c>
      <c r="O17" s="350">
        <f t="shared" si="6"/>
        <v>9889.2290211108775</v>
      </c>
      <c r="P17" s="240"/>
      <c r="Q17" s="156"/>
    </row>
    <row r="18" spans="1:17">
      <c r="A18" s="146"/>
      <c r="B18" s="362" t="s">
        <v>90</v>
      </c>
      <c r="C18" s="369" t="s">
        <v>27</v>
      </c>
      <c r="D18" s="373">
        <f>IFERROR(D17/D5,"-")</f>
        <v>5.1167614785188505E-2</v>
      </c>
      <c r="E18" s="71"/>
      <c r="F18" s="351">
        <f t="shared" ref="F18:O18" si="7">IFERROR(F17/F5,"-")</f>
        <v>-3.3418181818181819E-2</v>
      </c>
      <c r="G18" s="351">
        <f t="shared" si="7"/>
        <v>-3.8482758620689756E-3</v>
      </c>
      <c r="H18" s="351">
        <f t="shared" si="7"/>
        <v>3.0912686002522168E-2</v>
      </c>
      <c r="I18" s="351">
        <f t="shared" si="7"/>
        <v>6.8008035861574612E-2</v>
      </c>
      <c r="J18" s="351">
        <f t="shared" si="7"/>
        <v>8.2744844265075446E-2</v>
      </c>
      <c r="K18" s="351">
        <f t="shared" si="7"/>
        <v>7.6678810530122099E-2</v>
      </c>
      <c r="L18" s="351">
        <f t="shared" si="7"/>
        <v>7.0519453199246435E-2</v>
      </c>
      <c r="M18" s="351">
        <f t="shared" si="7"/>
        <v>6.4265336524818778E-2</v>
      </c>
      <c r="N18" s="351">
        <f t="shared" si="7"/>
        <v>5.7915002670784636E-2</v>
      </c>
      <c r="O18" s="351">
        <f t="shared" si="7"/>
        <v>5.146697137284241E-2</v>
      </c>
      <c r="P18" s="676"/>
      <c r="Q18" s="156"/>
    </row>
    <row r="19" spans="1:17">
      <c r="A19" s="146"/>
      <c r="B19" s="91" t="s">
        <v>93</v>
      </c>
      <c r="C19" s="264" t="s">
        <v>19</v>
      </c>
      <c r="D19" s="374">
        <f t="shared" ref="D19:D24" si="8">SUM(F19:O19)</f>
        <v>0</v>
      </c>
      <c r="E19" s="71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353"/>
      <c r="Q19" s="156"/>
    </row>
    <row r="20" spans="1:17">
      <c r="A20" s="221" t="str">
        <f t="array" aca="1" ref="A20" ca="1">HYPERLINK(CELL("адрес",Финансы!A25),"источник")</f>
        <v>источник</v>
      </c>
      <c r="B20" s="91" t="s">
        <v>94</v>
      </c>
      <c r="C20" s="264" t="s">
        <v>19</v>
      </c>
      <c r="D20" s="374">
        <f t="shared" ca="1" si="8"/>
        <v>0</v>
      </c>
      <c r="E20" s="71"/>
      <c r="F20" s="226">
        <f ca="1">-Финансы!F25</f>
        <v>0</v>
      </c>
      <c r="G20" s="226">
        <f ca="1">-Финансы!G25</f>
        <v>0</v>
      </c>
      <c r="H20" s="226">
        <f ca="1">-Финансы!H25</f>
        <v>0</v>
      </c>
      <c r="I20" s="226">
        <f ca="1">-Финансы!I25</f>
        <v>0</v>
      </c>
      <c r="J20" s="226">
        <f ca="1">-Финансы!J25</f>
        <v>0</v>
      </c>
      <c r="K20" s="226">
        <f ca="1">-Финансы!K25</f>
        <v>0</v>
      </c>
      <c r="L20" s="226">
        <f ca="1">-Финансы!L25</f>
        <v>0</v>
      </c>
      <c r="M20" s="226">
        <f ca="1">-Финансы!M25</f>
        <v>0</v>
      </c>
      <c r="N20" s="226">
        <f ca="1">-Финансы!N25</f>
        <v>0</v>
      </c>
      <c r="O20" s="226">
        <f ca="1">-Финансы!O25</f>
        <v>0</v>
      </c>
      <c r="P20" s="353"/>
      <c r="Q20" s="156"/>
    </row>
    <row r="21" spans="1:17">
      <c r="A21" s="221" t="str">
        <f t="array" aca="1" ref="A21" ca="1">HYPERLINK(CELL("адрес",ПрочДоходы!A5),"источник")</f>
        <v>источник</v>
      </c>
      <c r="B21" s="91" t="s">
        <v>91</v>
      </c>
      <c r="C21" s="264" t="s">
        <v>19</v>
      </c>
      <c r="D21" s="374">
        <f t="shared" si="8"/>
        <v>0</v>
      </c>
      <c r="E21" s="71"/>
      <c r="F21" s="226">
        <f>ПрочДоходы!F5</f>
        <v>0</v>
      </c>
      <c r="G21" s="226">
        <f>ПрочДоходы!G5</f>
        <v>0</v>
      </c>
      <c r="H21" s="226">
        <f>ПрочДоходы!H5</f>
        <v>0</v>
      </c>
      <c r="I21" s="226">
        <f>ПрочДоходы!I5</f>
        <v>0</v>
      </c>
      <c r="J21" s="226">
        <f>ПрочДоходы!J5</f>
        <v>0</v>
      </c>
      <c r="K21" s="226">
        <f>ПрочДоходы!K5</f>
        <v>0</v>
      </c>
      <c r="L21" s="226">
        <f>ПрочДоходы!L5</f>
        <v>0</v>
      </c>
      <c r="M21" s="226">
        <f>ПрочДоходы!M5</f>
        <v>0</v>
      </c>
      <c r="N21" s="226">
        <f>ПрочДоходы!N5</f>
        <v>0</v>
      </c>
      <c r="O21" s="226">
        <f>ПрочДоходы!O5</f>
        <v>0</v>
      </c>
      <c r="P21" s="353"/>
      <c r="Q21" s="156"/>
    </row>
    <row r="22" spans="1:17">
      <c r="A22" s="221" t="str">
        <f t="array" aca="1" ref="A22" ca="1">HYPERLINK(CELL("адрес",ПрочРасходы!A5),"источник")</f>
        <v>источник</v>
      </c>
      <c r="B22" s="91" t="s">
        <v>92</v>
      </c>
      <c r="C22" s="264" t="s">
        <v>19</v>
      </c>
      <c r="D22" s="374">
        <f t="shared" si="8"/>
        <v>-28214.351738952715</v>
      </c>
      <c r="E22" s="71"/>
      <c r="F22" s="226">
        <f>-ПрочРасходы!F5</f>
        <v>-2350</v>
      </c>
      <c r="G22" s="226">
        <f>-ПрочРасходы!G5</f>
        <v>-2444</v>
      </c>
      <c r="H22" s="226">
        <f>-ПрочРасходы!H5</f>
        <v>-2541.7600000000002</v>
      </c>
      <c r="I22" s="226">
        <f>-ПрочРасходы!I5</f>
        <v>-2643.4304000000002</v>
      </c>
      <c r="J22" s="226">
        <f>-ПрочРасходы!J5</f>
        <v>-2749.1676160000006</v>
      </c>
      <c r="K22" s="226">
        <f>-ПрочРасходы!K5</f>
        <v>-2859.1343206400011</v>
      </c>
      <c r="L22" s="226">
        <f>-ПрочРасходы!L5</f>
        <v>-2973.499693465601</v>
      </c>
      <c r="M22" s="226">
        <f>-ПрочРасходы!M5</f>
        <v>-3092.4396812042251</v>
      </c>
      <c r="N22" s="226">
        <f>-ПрочРасходы!N5</f>
        <v>-3216.1372684523944</v>
      </c>
      <c r="O22" s="226">
        <f>-ПрочРасходы!O5</f>
        <v>-3344.7827591904902</v>
      </c>
      <c r="P22" s="353"/>
      <c r="Q22" s="156"/>
    </row>
    <row r="23" spans="1:17">
      <c r="A23" s="221"/>
      <c r="B23" s="363" t="s">
        <v>347</v>
      </c>
      <c r="C23" s="264" t="s">
        <v>19</v>
      </c>
      <c r="D23" s="374">
        <f t="shared" si="8"/>
        <v>0</v>
      </c>
      <c r="E23" s="71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3"/>
      <c r="Q23" s="156"/>
    </row>
    <row r="24" spans="1:17">
      <c r="A24" s="221" t="str">
        <f t="array" aca="1" ref="A24" ca="1">HYPERLINK(CELL("адрес",НалИмущество!A13),"источник")</f>
        <v>источник</v>
      </c>
      <c r="B24" s="363" t="s">
        <v>348</v>
      </c>
      <c r="C24" s="264" t="s">
        <v>19</v>
      </c>
      <c r="D24" s="374">
        <f t="shared" si="8"/>
        <v>0</v>
      </c>
      <c r="E24" s="71"/>
      <c r="F24" s="352">
        <f>-НалИмущество!F13</f>
        <v>0</v>
      </c>
      <c r="G24" s="352">
        <f>-НалИмущество!G13</f>
        <v>0</v>
      </c>
      <c r="H24" s="352">
        <f>-НалИмущество!H13</f>
        <v>0</v>
      </c>
      <c r="I24" s="352">
        <f>-НалИмущество!I13</f>
        <v>0</v>
      </c>
      <c r="J24" s="352">
        <f>-НалИмущество!J13</f>
        <v>0</v>
      </c>
      <c r="K24" s="352">
        <f>-НалИмущество!K13</f>
        <v>0</v>
      </c>
      <c r="L24" s="352">
        <f>-НалИмущество!L13</f>
        <v>0</v>
      </c>
      <c r="M24" s="352">
        <f>-НалИмущество!M13</f>
        <v>0</v>
      </c>
      <c r="N24" s="352">
        <f>-НалИмущество!N13</f>
        <v>0</v>
      </c>
      <c r="O24" s="352">
        <f>-НалИмущество!O13</f>
        <v>0</v>
      </c>
      <c r="P24" s="353"/>
      <c r="Q24" s="156"/>
    </row>
    <row r="25" spans="1:17" ht="29.25" thickBot="1">
      <c r="A25" s="146"/>
      <c r="B25" s="359" t="s">
        <v>95</v>
      </c>
      <c r="C25" s="264" t="s">
        <v>19</v>
      </c>
      <c r="D25" s="350">
        <f ca="1">D17+SUM(D19:D24)</f>
        <v>51536.980087306729</v>
      </c>
      <c r="E25" s="71"/>
      <c r="F25" s="350">
        <f t="shared" ref="F25:O25" ca="1" si="9">F17+SUM(F19:F24)</f>
        <v>-6026</v>
      </c>
      <c r="G25" s="350">
        <f t="shared" ca="1" si="9"/>
        <v>-2908.2560000000012</v>
      </c>
      <c r="H25" s="350">
        <f t="shared" ca="1" si="9"/>
        <v>1537.3296640000135</v>
      </c>
      <c r="I25" s="350">
        <f t="shared" ca="1" si="9"/>
        <v>7454.5420451840446</v>
      </c>
      <c r="J25" s="350">
        <f t="shared" ca="1" si="9"/>
        <v>10318.800572514336</v>
      </c>
      <c r="K25" s="350">
        <f t="shared" ca="1" si="9"/>
        <v>9735.2178262071211</v>
      </c>
      <c r="L25" s="350">
        <f t="shared" ca="1" si="9"/>
        <v>9072.4970229719911</v>
      </c>
      <c r="M25" s="350">
        <f t="shared" ca="1" si="9"/>
        <v>8324.3481346955741</v>
      </c>
      <c r="N25" s="350">
        <f t="shared" ca="1" si="9"/>
        <v>7484.0545598131812</v>
      </c>
      <c r="O25" s="350">
        <f t="shared" ca="1" si="9"/>
        <v>6544.4462619203878</v>
      </c>
      <c r="P25" s="240"/>
      <c r="Q25" s="156"/>
    </row>
    <row r="26" spans="1:17" ht="30">
      <c r="A26" s="146"/>
      <c r="B26" s="362" t="s">
        <v>96</v>
      </c>
      <c r="C26" s="369" t="s">
        <v>27</v>
      </c>
      <c r="D26" s="373">
        <f ca="1">IFERROR(D25/D5,"-")</f>
        <v>3.3065583782902516E-2</v>
      </c>
      <c r="E26" s="71"/>
      <c r="F26" s="351">
        <f t="shared" ref="F26:O26" ca="1" si="10">IFERROR(F25/F5,"-")</f>
        <v>-5.4781818181818182E-2</v>
      </c>
      <c r="G26" s="351">
        <f t="shared" ca="1" si="10"/>
        <v>-2.4106896551724148E-2</v>
      </c>
      <c r="H26" s="351">
        <f t="shared" ca="1" si="10"/>
        <v>1.1650390920554957E-2</v>
      </c>
      <c r="I26" s="351">
        <f t="shared" ca="1" si="10"/>
        <v>5.0205005558544305E-2</v>
      </c>
      <c r="J26" s="351">
        <f t="shared" ca="1" si="10"/>
        <v>6.5337436857668046E-2</v>
      </c>
      <c r="K26" s="351">
        <f t="shared" ca="1" si="10"/>
        <v>5.9271403122714686E-2</v>
      </c>
      <c r="L26" s="351">
        <f t="shared" ca="1" si="10"/>
        <v>5.3112045791839022E-2</v>
      </c>
      <c r="M26" s="351">
        <f t="shared" ca="1" si="10"/>
        <v>4.6857929117411372E-2</v>
      </c>
      <c r="N26" s="351">
        <f t="shared" ca="1" si="10"/>
        <v>4.050759526337723E-2</v>
      </c>
      <c r="O26" s="351">
        <f t="shared" ca="1" si="10"/>
        <v>3.4059563965435004E-2</v>
      </c>
      <c r="P26" s="676"/>
      <c r="Q26" s="156"/>
    </row>
    <row r="27" spans="1:17">
      <c r="A27" s="146"/>
      <c r="B27" s="362" t="s">
        <v>1127</v>
      </c>
      <c r="C27" s="369"/>
      <c r="D27" s="373"/>
      <c r="E27" s="71"/>
      <c r="F27" s="886">
        <f ca="1">-УСН!F7</f>
        <v>-390.37199999999939</v>
      </c>
      <c r="G27" s="886">
        <f ca="1">-УСН!G7</f>
        <v>-930.51283200000069</v>
      </c>
      <c r="H27" s="886">
        <f ca="1">-УСН!H7</f>
        <v>-1673.8887505920013</v>
      </c>
      <c r="I27" s="886">
        <f ca="1">-УСН!I7</f>
        <v>-2642.2948086251581</v>
      </c>
      <c r="J27" s="886">
        <f ca="1">-УСН!J7</f>
        <v>-3157.2839438281667</v>
      </c>
      <c r="K27" s="886">
        <f ca="1">-УСН!K7</f>
        <v>-3159.8765079273412</v>
      </c>
      <c r="L27" s="886">
        <f ca="1">-УСН!L7</f>
        <v>-3155.6456421458624</v>
      </c>
      <c r="M27" s="886">
        <f ca="1">-УСН!M7</f>
        <v>-3143.930489871605</v>
      </c>
      <c r="N27" s="886">
        <f ca="1">-УСН!N7</f>
        <v>-3124.0220367406109</v>
      </c>
      <c r="O27" s="886">
        <f ca="1">-УСН!O7</f>
        <v>-3095.1599678117341</v>
      </c>
      <c r="P27" s="676"/>
      <c r="Q27" s="156"/>
    </row>
    <row r="28" spans="1:17">
      <c r="A28" s="356" t="str">
        <f t="array" aca="1" ref="A28" ca="1">HYPERLINK(CELL("адрес",НалПрибыль!A15),"источник")</f>
        <v>источник</v>
      </c>
      <c r="B28" s="91" t="s">
        <v>97</v>
      </c>
      <c r="C28" s="264" t="s">
        <v>19</v>
      </c>
      <c r="D28" s="374">
        <f ca="1">SUM(F28:O28)</f>
        <v>0</v>
      </c>
      <c r="E28" s="71"/>
      <c r="F28" s="226">
        <f ca="1">-НалПрибыль!F15</f>
        <v>0</v>
      </c>
      <c r="G28" s="226">
        <f ca="1">-НалПрибыль!G15</f>
        <v>0</v>
      </c>
      <c r="H28" s="226">
        <f ca="1">-НалПрибыль!H15</f>
        <v>0</v>
      </c>
      <c r="I28" s="226">
        <f ca="1">-НалПрибыль!I15</f>
        <v>0</v>
      </c>
      <c r="J28" s="226">
        <f ca="1">-НалПрибыль!J15</f>
        <v>0</v>
      </c>
      <c r="K28" s="226">
        <f ca="1">-НалПрибыль!K15</f>
        <v>0</v>
      </c>
      <c r="L28" s="226">
        <f ca="1">-НалПрибыль!L15</f>
        <v>0</v>
      </c>
      <c r="M28" s="226">
        <f ca="1">-НалПрибыль!M15</f>
        <v>0</v>
      </c>
      <c r="N28" s="226">
        <f ca="1">-НалПрибыль!N15</f>
        <v>0</v>
      </c>
      <c r="O28" s="226">
        <f ca="1">-НалПрибыль!O15</f>
        <v>0</v>
      </c>
      <c r="P28" s="353"/>
      <c r="Q28" s="156"/>
    </row>
    <row r="29" spans="1:17" ht="15.75" thickBot="1">
      <c r="A29" s="146"/>
      <c r="B29" s="359" t="s">
        <v>100</v>
      </c>
      <c r="C29" s="264" t="s">
        <v>19</v>
      </c>
      <c r="D29" s="350">
        <f ca="1">D25+D28</f>
        <v>51536.980087306729</v>
      </c>
      <c r="E29" s="71"/>
      <c r="F29" s="350">
        <f ca="1">F25+F27</f>
        <v>-6416.3719999999994</v>
      </c>
      <c r="G29" s="350">
        <f t="shared" ref="G29:O29" ca="1" si="11">G25+G27</f>
        <v>-3838.768832000002</v>
      </c>
      <c r="H29" s="350">
        <f t="shared" ca="1" si="11"/>
        <v>-136.55908659198781</v>
      </c>
      <c r="I29" s="350">
        <f t="shared" ca="1" si="11"/>
        <v>4812.2472365588865</v>
      </c>
      <c r="J29" s="350">
        <f t="shared" ca="1" si="11"/>
        <v>7161.5166286861695</v>
      </c>
      <c r="K29" s="350">
        <f t="shared" ca="1" si="11"/>
        <v>6575.3413182797794</v>
      </c>
      <c r="L29" s="350">
        <f t="shared" ca="1" si="11"/>
        <v>5916.8513808261287</v>
      </c>
      <c r="M29" s="350">
        <f t="shared" ca="1" si="11"/>
        <v>5180.4176448239687</v>
      </c>
      <c r="N29" s="350">
        <f t="shared" ca="1" si="11"/>
        <v>4360.0325230725703</v>
      </c>
      <c r="O29" s="350">
        <f t="shared" ca="1" si="11"/>
        <v>3449.2862941086537</v>
      </c>
      <c r="P29" s="240"/>
      <c r="Q29" s="156"/>
    </row>
    <row r="30" spans="1:17">
      <c r="A30" s="146"/>
      <c r="B30" s="362" t="s">
        <v>98</v>
      </c>
      <c r="C30" s="369" t="s">
        <v>27</v>
      </c>
      <c r="D30" s="373">
        <f ca="1">IFERROR(D29/D5,"-")</f>
        <v>3.3065583782902516E-2</v>
      </c>
      <c r="E30" s="71"/>
      <c r="F30" s="351">
        <f t="shared" ref="F30:O30" ca="1" si="12">IFERROR(F29/F5,"-")</f>
        <v>-5.8330654545454538E-2</v>
      </c>
      <c r="G30" s="351">
        <f t="shared" ca="1" si="12"/>
        <v>-3.1820033421750681E-2</v>
      </c>
      <c r="H30" s="351">
        <f t="shared" ca="1" si="12"/>
        <v>-1.0348897701037002E-3</v>
      </c>
      <c r="I30" s="351">
        <f t="shared" ca="1" si="12"/>
        <v>3.2409623260038045E-2</v>
      </c>
      <c r="J30" s="351">
        <f t="shared" ca="1" si="12"/>
        <v>4.5345884654296356E-2</v>
      </c>
      <c r="K30" s="351">
        <f t="shared" ca="1" si="12"/>
        <v>4.0032972338436439E-2</v>
      </c>
      <c r="L30" s="351">
        <f t="shared" ca="1" si="12"/>
        <v>3.4638322910024888E-2</v>
      </c>
      <c r="M30" s="351">
        <f t="shared" ca="1" si="12"/>
        <v>2.9160678875022317E-2</v>
      </c>
      <c r="N30" s="351">
        <f t="shared" ca="1" si="12"/>
        <v>2.3598763393327508E-2</v>
      </c>
      <c r="O30" s="351">
        <f t="shared" ca="1" si="12"/>
        <v>1.7951279981145193E-2</v>
      </c>
      <c r="P30" s="676"/>
      <c r="Q30" s="156"/>
    </row>
    <row r="31" spans="1:17">
      <c r="A31" s="146"/>
      <c r="B31" s="146"/>
      <c r="C31" s="370"/>
      <c r="D31" s="375"/>
      <c r="E31" s="71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71"/>
      <c r="Q31" s="156"/>
    </row>
    <row r="32" spans="1:17" ht="15.75" thickBot="1">
      <c r="A32" s="146"/>
      <c r="B32" s="359" t="s">
        <v>102</v>
      </c>
      <c r="C32" s="264" t="s">
        <v>19</v>
      </c>
      <c r="D32" s="350">
        <f ca="1">D25-D10-D19-D20</f>
        <v>51536.980087306729</v>
      </c>
      <c r="E32" s="71"/>
      <c r="F32" s="350">
        <f t="shared" ref="F32:O32" ca="1" si="13">F25-F10-F19-F20</f>
        <v>-6026</v>
      </c>
      <c r="G32" s="350">
        <f t="shared" ca="1" si="13"/>
        <v>-2908.2560000000012</v>
      </c>
      <c r="H32" s="350">
        <f t="shared" ca="1" si="13"/>
        <v>1537.3296640000135</v>
      </c>
      <c r="I32" s="350">
        <f t="shared" ca="1" si="13"/>
        <v>7454.5420451840446</v>
      </c>
      <c r="J32" s="350">
        <f t="shared" ca="1" si="13"/>
        <v>10318.800572514336</v>
      </c>
      <c r="K32" s="350">
        <f t="shared" ca="1" si="13"/>
        <v>9735.2178262071211</v>
      </c>
      <c r="L32" s="350">
        <f t="shared" ca="1" si="13"/>
        <v>9072.4970229719911</v>
      </c>
      <c r="M32" s="350">
        <f t="shared" ca="1" si="13"/>
        <v>8324.3481346955741</v>
      </c>
      <c r="N32" s="350">
        <f t="shared" ca="1" si="13"/>
        <v>7484.0545598131812</v>
      </c>
      <c r="O32" s="350">
        <f t="shared" ca="1" si="13"/>
        <v>6544.4462619203878</v>
      </c>
      <c r="P32" s="240"/>
      <c r="Q32" s="156"/>
    </row>
    <row r="33" spans="1:17">
      <c r="A33" s="146"/>
      <c r="B33" s="362" t="s">
        <v>103</v>
      </c>
      <c r="C33" s="369" t="s">
        <v>27</v>
      </c>
      <c r="D33" s="351">
        <f ca="1">IFERROR(D32/D5,"-")</f>
        <v>3.3065583782902516E-2</v>
      </c>
      <c r="E33" s="71"/>
      <c r="F33" s="351">
        <f t="shared" ref="F33:O33" ca="1" si="14">IFERROR(F32/F5,"-")</f>
        <v>-5.4781818181818182E-2</v>
      </c>
      <c r="G33" s="351">
        <f t="shared" ca="1" si="14"/>
        <v>-2.4106896551724148E-2</v>
      </c>
      <c r="H33" s="351">
        <f t="shared" ca="1" si="14"/>
        <v>1.1650390920554957E-2</v>
      </c>
      <c r="I33" s="351">
        <f t="shared" ca="1" si="14"/>
        <v>5.0205005558544305E-2</v>
      </c>
      <c r="J33" s="351">
        <f t="shared" ca="1" si="14"/>
        <v>6.5337436857668046E-2</v>
      </c>
      <c r="K33" s="351">
        <f t="shared" ca="1" si="14"/>
        <v>5.9271403122714686E-2</v>
      </c>
      <c r="L33" s="351">
        <f t="shared" ca="1" si="14"/>
        <v>5.3112045791839022E-2</v>
      </c>
      <c r="M33" s="351">
        <f t="shared" ca="1" si="14"/>
        <v>4.6857929117411372E-2</v>
      </c>
      <c r="N33" s="351">
        <f t="shared" ca="1" si="14"/>
        <v>4.050759526337723E-2</v>
      </c>
      <c r="O33" s="351">
        <f t="shared" ca="1" si="14"/>
        <v>3.4059563965435004E-2</v>
      </c>
      <c r="P33" s="676"/>
      <c r="Q33" s="156"/>
    </row>
    <row r="34" spans="1:17">
      <c r="A34" s="146"/>
      <c r="B34" s="146"/>
      <c r="C34" s="370"/>
      <c r="D34" s="375"/>
      <c r="E34" s="71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71"/>
      <c r="Q34" s="156"/>
    </row>
    <row r="35" spans="1:17">
      <c r="A35" s="146"/>
      <c r="B35" s="71"/>
      <c r="C35" s="370"/>
      <c r="D35" s="375"/>
      <c r="E35" s="71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71"/>
      <c r="Q35" s="156"/>
    </row>
    <row r="36" spans="1:17" ht="45">
      <c r="A36" s="146"/>
      <c r="B36" s="91" t="s">
        <v>173</v>
      </c>
      <c r="C36" s="264"/>
      <c r="D36" s="374"/>
      <c r="E36" s="71"/>
      <c r="F36" s="226">
        <f ca="1">F29</f>
        <v>-6416.3719999999994</v>
      </c>
      <c r="G36" s="226">
        <f ca="1">F36+G29</f>
        <v>-10255.140832000001</v>
      </c>
      <c r="H36" s="226">
        <f t="shared" ref="H36:O36" ca="1" si="15">G36+H29</f>
        <v>-10391.699918591989</v>
      </c>
      <c r="I36" s="226">
        <f t="shared" ca="1" si="15"/>
        <v>-5579.4526820331021</v>
      </c>
      <c r="J36" s="226">
        <f t="shared" ca="1" si="15"/>
        <v>1582.0639466530674</v>
      </c>
      <c r="K36" s="226">
        <f t="shared" ca="1" si="15"/>
        <v>8157.4052649328469</v>
      </c>
      <c r="L36" s="226">
        <f t="shared" ca="1" si="15"/>
        <v>14074.256645758975</v>
      </c>
      <c r="M36" s="226">
        <f t="shared" ca="1" si="15"/>
        <v>19254.674290582945</v>
      </c>
      <c r="N36" s="226">
        <f t="shared" ca="1" si="15"/>
        <v>23614.706813655517</v>
      </c>
      <c r="O36" s="226">
        <f t="shared" ca="1" si="15"/>
        <v>27063.99310776417</v>
      </c>
      <c r="P36" s="353"/>
      <c r="Q36" s="156"/>
    </row>
    <row r="37" spans="1:17">
      <c r="A37" s="71"/>
      <c r="B37" s="71"/>
      <c r="C37" s="367"/>
      <c r="D37" s="124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156"/>
    </row>
    <row r="38" spans="1:17">
      <c r="A38" s="71"/>
      <c r="B38" s="71" t="s">
        <v>302</v>
      </c>
      <c r="C38" s="367"/>
      <c r="D38" s="124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156"/>
    </row>
    <row r="39" spans="1:17">
      <c r="A39" s="306" t="str">
        <f t="array" aca="1" ref="A39" ca="1">HYPERLINK(CELL("адрес",БДР!A29),"источник")</f>
        <v>источник</v>
      </c>
      <c r="B39" s="71" t="s">
        <v>303</v>
      </c>
      <c r="C39" s="668" t="s">
        <v>19</v>
      </c>
      <c r="D39" s="374">
        <f ca="1">SUM(F39:O39)</f>
        <v>154995.58420376907</v>
      </c>
      <c r="E39" s="71"/>
      <c r="F39" s="226">
        <f ca="1">БДР!F29</f>
        <v>2472.3559999999961</v>
      </c>
      <c r="G39" s="226">
        <f ca="1">БДР!G29</f>
        <v>5893.2479360000043</v>
      </c>
      <c r="H39" s="226">
        <f ca="1">БДР!H29</f>
        <v>10601.295420416009</v>
      </c>
      <c r="I39" s="226">
        <f ca="1">БДР!I29</f>
        <v>16734.533787959335</v>
      </c>
      <c r="J39" s="226">
        <f ca="1">БДР!J29</f>
        <v>19996.131644245059</v>
      </c>
      <c r="K39" s="226">
        <f ca="1">БДР!K29</f>
        <v>20012.551216873162</v>
      </c>
      <c r="L39" s="226">
        <f ca="1">БДР!L29</f>
        <v>19985.755733590464</v>
      </c>
      <c r="M39" s="226">
        <f ca="1">БДР!M29</f>
        <v>19911.559769186832</v>
      </c>
      <c r="N39" s="226">
        <f ca="1">БДР!N29</f>
        <v>19785.472899357203</v>
      </c>
      <c r="O39" s="226">
        <f ca="1">БДР!O29</f>
        <v>19602.679796140983</v>
      </c>
      <c r="P39" s="353"/>
      <c r="Q39" s="156"/>
    </row>
    <row r="40" spans="1:17">
      <c r="A40" s="71"/>
      <c r="B40" s="71" t="s">
        <v>304</v>
      </c>
      <c r="C40" s="668" t="s">
        <v>19</v>
      </c>
      <c r="D40" s="374">
        <f ca="1">SUM(F40:O40)</f>
        <v>27063.99310776417</v>
      </c>
      <c r="E40" s="71"/>
      <c r="F40" s="226">
        <f t="shared" ref="F40:O40" ca="1" si="16">F29</f>
        <v>-6416.3719999999994</v>
      </c>
      <c r="G40" s="226">
        <f t="shared" ca="1" si="16"/>
        <v>-3838.768832000002</v>
      </c>
      <c r="H40" s="226">
        <f t="shared" ca="1" si="16"/>
        <v>-136.55908659198781</v>
      </c>
      <c r="I40" s="226">
        <f t="shared" ca="1" si="16"/>
        <v>4812.2472365588865</v>
      </c>
      <c r="J40" s="226">
        <f t="shared" ca="1" si="16"/>
        <v>7161.5166286861695</v>
      </c>
      <c r="K40" s="226">
        <f t="shared" ca="1" si="16"/>
        <v>6575.3413182797794</v>
      </c>
      <c r="L40" s="226">
        <f t="shared" ca="1" si="16"/>
        <v>5916.8513808261287</v>
      </c>
      <c r="M40" s="226">
        <f t="shared" ca="1" si="16"/>
        <v>5180.4176448239687</v>
      </c>
      <c r="N40" s="226">
        <f t="shared" ca="1" si="16"/>
        <v>4360.0325230725703</v>
      </c>
      <c r="O40" s="226">
        <f t="shared" ca="1" si="16"/>
        <v>3449.2862941086537</v>
      </c>
      <c r="P40" s="353"/>
      <c r="Q40" s="156"/>
    </row>
    <row r="41" spans="1:17">
      <c r="A41" s="71"/>
      <c r="B41" s="71" t="s">
        <v>305</v>
      </c>
      <c r="C41" s="668" t="s">
        <v>19</v>
      </c>
      <c r="D41" s="226">
        <f ca="1">D39-D40</f>
        <v>127931.59109600491</v>
      </c>
      <c r="E41" s="71"/>
      <c r="F41" s="226">
        <f t="shared" ref="F41:O41" ca="1" si="17">F39-F40</f>
        <v>8888.7279999999955</v>
      </c>
      <c r="G41" s="226">
        <f t="shared" ca="1" si="17"/>
        <v>9732.0167680000068</v>
      </c>
      <c r="H41" s="226">
        <f t="shared" ca="1" si="17"/>
        <v>10737.854507007996</v>
      </c>
      <c r="I41" s="226">
        <f t="shared" ca="1" si="17"/>
        <v>11922.286551400448</v>
      </c>
      <c r="J41" s="226">
        <f t="shared" ca="1" si="17"/>
        <v>12834.615015558889</v>
      </c>
      <c r="K41" s="226">
        <f t="shared" ca="1" si="17"/>
        <v>13437.209898593383</v>
      </c>
      <c r="L41" s="226">
        <f t="shared" ca="1" si="17"/>
        <v>14068.904352764335</v>
      </c>
      <c r="M41" s="226">
        <f t="shared" ca="1" si="17"/>
        <v>14731.142124362863</v>
      </c>
      <c r="N41" s="226">
        <f t="shared" ca="1" si="17"/>
        <v>15425.440376284632</v>
      </c>
      <c r="O41" s="226">
        <f t="shared" ca="1" si="17"/>
        <v>16153.39350203233</v>
      </c>
      <c r="P41" s="353"/>
      <c r="Q41" s="156"/>
    </row>
    <row r="42" spans="1:17">
      <c r="A42" s="71"/>
      <c r="B42" s="71" t="s">
        <v>305</v>
      </c>
      <c r="C42" s="669" t="s">
        <v>27</v>
      </c>
      <c r="D42" s="670">
        <f ca="1">D41/D39</f>
        <v>0.82538861834809585</v>
      </c>
      <c r="E42" s="71"/>
      <c r="F42" s="670">
        <f ca="1">F41/F39</f>
        <v>3.5952459920820501</v>
      </c>
      <c r="G42" s="670">
        <f t="shared" ref="G42:O42" ca="1" si="18">G41/G39</f>
        <v>1.6513842406918207</v>
      </c>
      <c r="H42" s="670">
        <f t="shared" ca="1" si="18"/>
        <v>1.0128813584733241</v>
      </c>
      <c r="I42" s="670">
        <f t="shared" ca="1" si="18"/>
        <v>0.71243613371402392</v>
      </c>
      <c r="J42" s="670">
        <f t="shared" ca="1" si="18"/>
        <v>0.64185489693216369</v>
      </c>
      <c r="K42" s="670">
        <f t="shared" ca="1" si="18"/>
        <v>0.67143912602527567</v>
      </c>
      <c r="L42" s="670">
        <f t="shared" ca="1" si="18"/>
        <v>0.703946577767807</v>
      </c>
      <c r="M42" s="670">
        <f t="shared" ca="1" si="18"/>
        <v>0.73982863698901813</v>
      </c>
      <c r="N42" s="670">
        <f t="shared" ca="1" si="18"/>
        <v>0.77963465693992984</v>
      </c>
      <c r="O42" s="670">
        <f t="shared" ca="1" si="18"/>
        <v>0.82404006340053126</v>
      </c>
      <c r="P42" s="687"/>
      <c r="Q42" s="156"/>
    </row>
    <row r="43" spans="1:17">
      <c r="A43" s="71"/>
      <c r="B43" s="71"/>
      <c r="C43" s="597"/>
      <c r="D43" s="124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</row>
    <row r="45" spans="1:17">
      <c r="A45" s="71"/>
      <c r="B45" s="71"/>
      <c r="C45" s="367"/>
      <c r="D45" s="124"/>
      <c r="E45" s="71"/>
      <c r="F45" s="146" t="str">
        <f ca="1">CONCATENATE("БДР. Выручка: ",ROUND(D5,0)," ",C5,". Чистая прибыль: ",ROUND(D29,0)," ",C29)</f>
        <v>БДР. Выручка: 1558629 тыс.руб.. Чистая прибыль: 51537 тыс.руб.</v>
      </c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</row>
    <row r="46" spans="1:17">
      <c r="A46" s="71"/>
      <c r="B46" s="71"/>
      <c r="C46" s="367"/>
      <c r="D46" s="124"/>
      <c r="E46" s="71"/>
      <c r="F46" s="71" t="str">
        <f ca="1">CONCATENATE("БДР. Рентабельность продаж: ",ROUND(D18*100,0)," ",C18,". Рентабельность по чистой прибыли: ",ROUND(D30*100,0)," ",C30)</f>
        <v>БДР. Рентабельность продаж: 5 %. Рентабельность по чистой прибыли: 3 %</v>
      </c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</row>
  </sheetData>
  <hyperlinks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66" fitToHeight="7" orientation="landscape" r:id="rId1"/>
  <headerFooter>
    <oddFooter>&amp;C&amp;9Страница  &amp;P из &amp;N&amp;R&amp;G</oddFooter>
  </headerFooter>
  <rowBreaks count="1" manualBreakCount="1">
    <brk id="43" max="16383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theme="7" tint="0.39997558519241921"/>
    <outlinePr summaryBelow="0" summaryRight="0"/>
    <pageSetUpPr fitToPage="1"/>
  </sheetPr>
  <dimension ref="A1:AD191"/>
  <sheetViews>
    <sheetView zoomScaleNormal="100" workbookViewId="0">
      <pane xSplit="4" ySplit="4" topLeftCell="E5" activePane="bottomRight" state="frozen"/>
      <selection activeCell="J32" sqref="J32"/>
      <selection pane="topRight" activeCell="J32" sqref="J32"/>
      <selection pane="bottomLeft" activeCell="J32" sqref="J32"/>
      <selection pane="bottomRight" activeCell="H19" sqref="H19"/>
    </sheetView>
  </sheetViews>
  <sheetFormatPr defaultRowHeight="15" outlineLevelRow="1" outlineLevelCol="1"/>
  <cols>
    <col min="1" max="1" width="9.140625" customWidth="1"/>
    <col min="2" max="2" width="39" customWidth="1"/>
    <col min="3" max="3" width="9.5703125" style="3" customWidth="1"/>
    <col min="4" max="4" width="11" customWidth="1"/>
    <col min="5" max="5" width="2.28515625" customWidth="1"/>
    <col min="6" max="15" width="10.5703125" customWidth="1"/>
    <col min="16" max="16" width="2.28515625" customWidth="1"/>
    <col min="17" max="17" width="2.85546875" customWidth="1" collapsed="1"/>
    <col min="18" max="27" width="8.85546875" hidden="1" customWidth="1" outlineLevel="1"/>
    <col min="28" max="28" width="1.5703125" customWidth="1"/>
    <col min="29" max="29" width="5" customWidth="1"/>
  </cols>
  <sheetData>
    <row r="1" spans="1:30" ht="25.5">
      <c r="A1" s="654" t="s">
        <v>299</v>
      </c>
      <c r="B1" s="71"/>
      <c r="C1" s="391"/>
      <c r="D1" s="71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155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>
      <c r="A2" s="71" t="str">
        <f>Паспорт_ФМ_резидент!B7</f>
        <v>Разработка, производство, модернизация и реализация …</v>
      </c>
      <c r="B2" s="71"/>
      <c r="C2" s="391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59"/>
      <c r="Q2" s="156"/>
      <c r="R2" s="159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 ht="28.5">
      <c r="A3" s="380" t="s">
        <v>2</v>
      </c>
      <c r="B3" s="127" t="s">
        <v>3</v>
      </c>
      <c r="C3" s="127" t="s">
        <v>12</v>
      </c>
      <c r="D3" s="194" t="str">
        <f>CONCATENATE("Итого ",F3,"-",O3)</f>
        <v>Итого 2025-2034</v>
      </c>
      <c r="E3" s="152"/>
      <c r="F3" s="766"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671"/>
      <c r="Q3" s="157"/>
      <c r="R3" s="160">
        <v>2035</v>
      </c>
      <c r="S3" s="160">
        <f>R3+1</f>
        <v>2036</v>
      </c>
      <c r="T3" s="160">
        <f>S3+1</f>
        <v>2037</v>
      </c>
      <c r="U3" s="160">
        <f t="shared" si="0"/>
        <v>2038</v>
      </c>
      <c r="V3" s="160">
        <f t="shared" si="0"/>
        <v>2039</v>
      </c>
      <c r="W3" s="160">
        <f t="shared" si="0"/>
        <v>2040</v>
      </c>
      <c r="X3" s="160">
        <f t="shared" si="0"/>
        <v>2041</v>
      </c>
      <c r="Y3" s="160">
        <f t="shared" si="0"/>
        <v>2042</v>
      </c>
      <c r="Z3" s="160">
        <f t="shared" si="0"/>
        <v>2043</v>
      </c>
      <c r="AA3" s="160">
        <f t="shared" si="0"/>
        <v>2044</v>
      </c>
      <c r="AB3" s="152"/>
      <c r="AC3" s="152"/>
      <c r="AD3" s="152"/>
    </row>
    <row r="4" spans="1:30" ht="8.1" customHeight="1">
      <c r="A4" s="381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6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>
      <c r="A5" s="206"/>
      <c r="B5" s="87" t="s">
        <v>85</v>
      </c>
      <c r="C5" s="264" t="s">
        <v>19</v>
      </c>
      <c r="D5" s="394">
        <v>0</v>
      </c>
      <c r="E5" s="71"/>
      <c r="F5" s="225">
        <v>0</v>
      </c>
      <c r="G5" s="225">
        <f ca="1">F58</f>
        <v>3583.627999999997</v>
      </c>
      <c r="H5" s="225">
        <f t="shared" ref="H5:O5" ca="1" si="2">G58</f>
        <v>-255.14083200000459</v>
      </c>
      <c r="I5" s="225">
        <f t="shared" ca="1" si="2"/>
        <v>-391.69991859199945</v>
      </c>
      <c r="J5" s="225">
        <f t="shared" ca="1" si="2"/>
        <v>4420.547317966877</v>
      </c>
      <c r="K5" s="225">
        <f t="shared" ca="1" si="2"/>
        <v>11582.063946653012</v>
      </c>
      <c r="L5" s="225">
        <f t="shared" ca="1" si="2"/>
        <v>28157.405264932779</v>
      </c>
      <c r="M5" s="225">
        <f t="shared" ca="1" si="2"/>
        <v>34074.256645758898</v>
      </c>
      <c r="N5" s="225">
        <f t="shared" ca="1" si="2"/>
        <v>39254.674290582887</v>
      </c>
      <c r="O5" s="225">
        <f t="shared" ca="1" si="2"/>
        <v>43614.706813655474</v>
      </c>
      <c r="P5" s="349"/>
      <c r="Q5" s="156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71"/>
      <c r="AC5" s="71"/>
      <c r="AD5" s="71"/>
    </row>
    <row r="6" spans="1:30">
      <c r="A6" s="382" t="s">
        <v>69</v>
      </c>
      <c r="B6" s="78"/>
      <c r="C6" s="392"/>
      <c r="D6" s="395"/>
      <c r="E6" s="71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677"/>
      <c r="Q6" s="156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>
      <c r="A7" s="383"/>
      <c r="B7" s="386" t="s">
        <v>72</v>
      </c>
      <c r="C7" s="264" t="s">
        <v>19</v>
      </c>
      <c r="D7" s="223">
        <f>SUM(D8:D9)</f>
        <v>1636560.5230793813</v>
      </c>
      <c r="E7" s="71"/>
      <c r="F7" s="223">
        <f t="shared" ref="F7:O7" si="3">SUM(F8:F9)</f>
        <v>115500</v>
      </c>
      <c r="G7" s="223">
        <f t="shared" si="3"/>
        <v>126672</v>
      </c>
      <c r="H7" s="223">
        <f t="shared" si="3"/>
        <v>138552.96000000002</v>
      </c>
      <c r="I7" s="223">
        <f t="shared" si="3"/>
        <v>155906.15040000004</v>
      </c>
      <c r="J7" s="223">
        <f t="shared" si="3"/>
        <v>165827.45088000005</v>
      </c>
      <c r="K7" s="223">
        <f t="shared" si="3"/>
        <v>172460.54891520005</v>
      </c>
      <c r="L7" s="223">
        <f t="shared" si="3"/>
        <v>179358.97087180807</v>
      </c>
      <c r="M7" s="223">
        <f t="shared" si="3"/>
        <v>186533.32970668035</v>
      </c>
      <c r="N7" s="223">
        <f t="shared" si="3"/>
        <v>193994.66289494757</v>
      </c>
      <c r="O7" s="223">
        <f t="shared" si="3"/>
        <v>201754.4494107455</v>
      </c>
      <c r="P7" s="348"/>
      <c r="Q7" s="156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outlineLevel="1">
      <c r="A8" s="255" t="str">
        <f t="array" aca="1" ref="A8" ca="1">HYPERLINK(CELL("адрес",Выручка!A10),"источник")</f>
        <v>источник</v>
      </c>
      <c r="B8" s="387" t="s">
        <v>67</v>
      </c>
      <c r="C8" s="264" t="s">
        <v>19</v>
      </c>
      <c r="D8" s="244">
        <f>SUM(F8:O8)</f>
        <v>1636560.5230793813</v>
      </c>
      <c r="E8" s="71"/>
      <c r="F8" s="225">
        <f>Выручка!F10</f>
        <v>115500</v>
      </c>
      <c r="G8" s="225">
        <f>Выручка!G10</f>
        <v>126672</v>
      </c>
      <c r="H8" s="225">
        <f>Выручка!H10</f>
        <v>138552.96000000002</v>
      </c>
      <c r="I8" s="225">
        <f>Выручка!I10</f>
        <v>155906.15040000004</v>
      </c>
      <c r="J8" s="225">
        <f>Выручка!J10</f>
        <v>165827.45088000005</v>
      </c>
      <c r="K8" s="225">
        <f>Выручка!K10</f>
        <v>172460.54891520005</v>
      </c>
      <c r="L8" s="225">
        <f>Выручка!L10</f>
        <v>179358.97087180807</v>
      </c>
      <c r="M8" s="225">
        <f>Выручка!M10</f>
        <v>186533.32970668035</v>
      </c>
      <c r="N8" s="225">
        <f>Выручка!N10</f>
        <v>193994.66289494757</v>
      </c>
      <c r="O8" s="225">
        <f>Выручка!O10</f>
        <v>201754.4494107455</v>
      </c>
      <c r="P8" s="349"/>
      <c r="Q8" s="156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outlineLevel="1">
      <c r="A9" s="255" t="str">
        <f t="array" aca="1" ref="A9" ca="1">HYPERLINK(CELL("адрес",ПрочДоходы!A5),"источник")</f>
        <v>источник</v>
      </c>
      <c r="B9" s="387" t="s">
        <v>277</v>
      </c>
      <c r="C9" s="264" t="s">
        <v>19</v>
      </c>
      <c r="D9" s="244">
        <f>SUM(F9:O9)</f>
        <v>0</v>
      </c>
      <c r="E9" s="71"/>
      <c r="F9" s="225">
        <f>ПрочДоходы!F5</f>
        <v>0</v>
      </c>
      <c r="G9" s="225">
        <f>ПрочДоходы!G5</f>
        <v>0</v>
      </c>
      <c r="H9" s="225">
        <f>ПрочДоходы!H5</f>
        <v>0</v>
      </c>
      <c r="I9" s="225">
        <f>ПрочДоходы!I5</f>
        <v>0</v>
      </c>
      <c r="J9" s="225">
        <f>ПрочДоходы!J5</f>
        <v>0</v>
      </c>
      <c r="K9" s="225">
        <f>ПрочДоходы!K5</f>
        <v>0</v>
      </c>
      <c r="L9" s="225">
        <f>ПрочДоходы!L5</f>
        <v>0</v>
      </c>
      <c r="M9" s="225">
        <f>ПрочДоходы!M5</f>
        <v>0</v>
      </c>
      <c r="N9" s="225">
        <f>ПрочДоходы!N5</f>
        <v>0</v>
      </c>
      <c r="O9" s="225">
        <f>ПрочДоходы!O5</f>
        <v>0</v>
      </c>
      <c r="P9" s="349"/>
      <c r="Q9" s="156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outlineLevel="1">
      <c r="A10" s="384"/>
      <c r="B10" s="388"/>
      <c r="C10" s="264" t="s">
        <v>19</v>
      </c>
      <c r="D10" s="396"/>
      <c r="E10" s="71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229"/>
      <c r="Q10" s="156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>
      <c r="A11" s="383"/>
      <c r="B11" s="386" t="s">
        <v>73</v>
      </c>
      <c r="C11" s="264" t="s">
        <v>19</v>
      </c>
      <c r="D11" s="223">
        <f ca="1">SUM(D12:D26)</f>
        <v>-1609496.5299716175</v>
      </c>
      <c r="E11" s="71"/>
      <c r="F11" s="223">
        <f ca="1">SUM(F12:F26)</f>
        <v>-121916.372</v>
      </c>
      <c r="G11" s="223">
        <f t="shared" ref="G11:O11" ca="1" si="4">SUM(G12:G26)</f>
        <v>-130510.768832</v>
      </c>
      <c r="H11" s="223">
        <f t="shared" ca="1" si="4"/>
        <v>-138689.51908659202</v>
      </c>
      <c r="I11" s="223">
        <f t="shared" ca="1" si="4"/>
        <v>-151093.90316344117</v>
      </c>
      <c r="J11" s="223">
        <f t="shared" ca="1" si="4"/>
        <v>-158665.93425131391</v>
      </c>
      <c r="K11" s="223">
        <f t="shared" ca="1" si="4"/>
        <v>-165885.20759692029</v>
      </c>
      <c r="L11" s="223">
        <f t="shared" ca="1" si="4"/>
        <v>-173442.11949098195</v>
      </c>
      <c r="M11" s="223">
        <f t="shared" ca="1" si="4"/>
        <v>-181352.91206185636</v>
      </c>
      <c r="N11" s="223">
        <f t="shared" ca="1" si="4"/>
        <v>-189634.63037187498</v>
      </c>
      <c r="O11" s="223">
        <f t="shared" ca="1" si="4"/>
        <v>-198305.1631166368</v>
      </c>
      <c r="P11" s="348"/>
      <c r="Q11" s="156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outlineLevel="1">
      <c r="A12" s="255" t="str">
        <f t="array" aca="1" ref="A12" ca="1">HYPERLINK(CELL("адрес",Себестоимость!A9),"источник")</f>
        <v>источник</v>
      </c>
      <c r="B12" s="387" t="s">
        <v>242</v>
      </c>
      <c r="C12" s="264" t="s">
        <v>19</v>
      </c>
      <c r="D12" s="244">
        <f t="shared" ref="D12:D24" si="5">SUM(F12:O12)</f>
        <v>-619797.2775168058</v>
      </c>
      <c r="E12" s="71"/>
      <c r="F12" s="225">
        <f>-Себестоимость!F9</f>
        <v>-46000</v>
      </c>
      <c r="G12" s="225">
        <f>-Себестоимость!G9</f>
        <v>-49920</v>
      </c>
      <c r="H12" s="225">
        <f>-Себестоимость!H9</f>
        <v>-52998.399999999994</v>
      </c>
      <c r="I12" s="225">
        <f>-Себестоимость!I9</f>
        <v>-59617.792000000001</v>
      </c>
      <c r="J12" s="225">
        <f>-Себестоимость!J9</f>
        <v>-62002.503680000009</v>
      </c>
      <c r="K12" s="225">
        <f>-Себестоимость!K9</f>
        <v>-64482.603827200001</v>
      </c>
      <c r="L12" s="225">
        <f>-Себестоимость!L9</f>
        <v>-67061.907980288015</v>
      </c>
      <c r="M12" s="225">
        <f>-Себестоимость!M9</f>
        <v>-69744.384299499536</v>
      </c>
      <c r="N12" s="225">
        <f>-Себестоимость!N9</f>
        <v>-72534.159671479516</v>
      </c>
      <c r="O12" s="225">
        <f>-Себестоимость!O9</f>
        <v>-75435.526058338699</v>
      </c>
      <c r="P12" s="349"/>
      <c r="Q12" s="156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outlineLevel="1">
      <c r="A13" s="255" t="str">
        <f t="array" aca="1" ref="A13" ca="1">HYPERLINK(CELL("адрес",Ресурсы!A9),"источник")</f>
        <v>источник</v>
      </c>
      <c r="B13" s="387" t="s">
        <v>251</v>
      </c>
      <c r="C13" s="264" t="s">
        <v>19</v>
      </c>
      <c r="D13" s="244">
        <f t="shared" si="5"/>
        <v>0</v>
      </c>
      <c r="E13" s="71"/>
      <c r="F13" s="225">
        <f>-Ресурсы!F7</f>
        <v>0</v>
      </c>
      <c r="G13" s="225">
        <f>-Ресурсы!G7</f>
        <v>0</v>
      </c>
      <c r="H13" s="225">
        <f>-Ресурсы!H7</f>
        <v>0</v>
      </c>
      <c r="I13" s="225">
        <f>-Ресурсы!I7</f>
        <v>0</v>
      </c>
      <c r="J13" s="225">
        <f>-Ресурсы!J7</f>
        <v>0</v>
      </c>
      <c r="K13" s="225">
        <f>-Ресурсы!K7</f>
        <v>0</v>
      </c>
      <c r="L13" s="225">
        <f>-Ресурсы!L7</f>
        <v>0</v>
      </c>
      <c r="M13" s="225">
        <f>-Ресурсы!M7</f>
        <v>0</v>
      </c>
      <c r="N13" s="225">
        <f>-Ресурсы!N7</f>
        <v>0</v>
      </c>
      <c r="O13" s="225">
        <f>-Ресурсы!O7</f>
        <v>0</v>
      </c>
      <c r="P13" s="349"/>
      <c r="Q13" s="156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outlineLevel="1">
      <c r="A14" s="255" t="str">
        <f t="array" aca="1" ref="A14" ca="1">HYPERLINK(CELL("адрес",Персонал!A56),"источник")</f>
        <v>источник</v>
      </c>
      <c r="B14" s="387" t="s">
        <v>158</v>
      </c>
      <c r="C14" s="264" t="s">
        <v>19</v>
      </c>
      <c r="D14" s="244">
        <f t="shared" si="5"/>
        <v>-433509.60627406067</v>
      </c>
      <c r="E14" s="71"/>
      <c r="F14" s="225">
        <f>-Персонал!F56</f>
        <v>-33512.400000000001</v>
      </c>
      <c r="G14" s="225">
        <f>-Персонал!G56</f>
        <v>-35389.094400000002</v>
      </c>
      <c r="H14" s="225">
        <f>-Персонал!H56</f>
        <v>-37370.883686400004</v>
      </c>
      <c r="I14" s="225">
        <f>-Персонал!I56</f>
        <v>-39463.6531728384</v>
      </c>
      <c r="J14" s="225">
        <f>-Персонал!J56</f>
        <v>-41673.617750517362</v>
      </c>
      <c r="K14" s="225">
        <f>-Персонал!K56</f>
        <v>-44007.340344546334</v>
      </c>
      <c r="L14" s="225">
        <f>-Персонал!L56</f>
        <v>-46471.751403840928</v>
      </c>
      <c r="M14" s="225">
        <f>-Персонал!M56</f>
        <v>-49074.169482456018</v>
      </c>
      <c r="N14" s="225">
        <f>-Персонал!N56</f>
        <v>-51822.322973473558</v>
      </c>
      <c r="O14" s="225">
        <f>-Персонал!O56</f>
        <v>-54724.37305998808</v>
      </c>
      <c r="P14" s="349"/>
      <c r="Q14" s="156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outlineLevel="1">
      <c r="A15" s="255" t="str">
        <f t="array" aca="1" ref="A15" ca="1">HYPERLINK(CELL("адрес",Персонал!A25),"источник")</f>
        <v>источник</v>
      </c>
      <c r="B15" s="387" t="s">
        <v>157</v>
      </c>
      <c r="C15" s="264" t="s">
        <v>19</v>
      </c>
      <c r="D15" s="244">
        <f t="shared" si="5"/>
        <v>-149486.07112898643</v>
      </c>
      <c r="E15" s="71"/>
      <c r="F15" s="225">
        <f>-Персонал!F25</f>
        <v>-11556</v>
      </c>
      <c r="G15" s="225">
        <f>-Персонал!G25</f>
        <v>-12203.136</v>
      </c>
      <c r="H15" s="225">
        <f>-Персонал!H25</f>
        <v>-12886.511616</v>
      </c>
      <c r="I15" s="225">
        <f>-Персонал!I25</f>
        <v>-13608.156266496</v>
      </c>
      <c r="J15" s="225">
        <f>-Персонал!J25</f>
        <v>-14370.213017419779</v>
      </c>
      <c r="K15" s="225">
        <f>-Персонал!K25</f>
        <v>-15174.944946395288</v>
      </c>
      <c r="L15" s="225">
        <f>-Персонал!L25</f>
        <v>-16024.741863393423</v>
      </c>
      <c r="M15" s="225">
        <f>-Персонал!M25</f>
        <v>-16922.127407743454</v>
      </c>
      <c r="N15" s="225">
        <f>-Персонал!N25</f>
        <v>-17869.76654257709</v>
      </c>
      <c r="O15" s="225">
        <f>-Персонал!O25</f>
        <v>-18870.473468961405</v>
      </c>
      <c r="P15" s="349"/>
      <c r="Q15" s="156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outlineLevel="1">
      <c r="A16" s="255" t="str">
        <f t="array" aca="1" ref="A16" ca="1">HYPERLINK(CELL("адрес",Персонал!A51),"источник")</f>
        <v>источник</v>
      </c>
      <c r="B16" s="387" t="s">
        <v>68</v>
      </c>
      <c r="C16" s="264" t="s">
        <v>19</v>
      </c>
      <c r="D16" s="244">
        <f t="shared" si="5"/>
        <v>-64777.297489227465</v>
      </c>
      <c r="E16" s="71"/>
      <c r="F16" s="225">
        <f>-Персонал!F51</f>
        <v>-5007.5999999999995</v>
      </c>
      <c r="G16" s="225">
        <f>-Персонал!G51</f>
        <v>-5288.0256000000008</v>
      </c>
      <c r="H16" s="225">
        <f>-Персонал!H51</f>
        <v>-5584.1550336</v>
      </c>
      <c r="I16" s="225">
        <f>-Персонал!I51</f>
        <v>-5896.8677154815996</v>
      </c>
      <c r="J16" s="225">
        <f>-Персонал!J51</f>
        <v>-6227.0923075485716</v>
      </c>
      <c r="K16" s="225">
        <f>-Персонал!K51</f>
        <v>-6575.8094767712919</v>
      </c>
      <c r="L16" s="225">
        <f>-Персонал!L51</f>
        <v>-6944.0548074704839</v>
      </c>
      <c r="M16" s="225">
        <f>-Персонал!M51</f>
        <v>-7332.9218766888307</v>
      </c>
      <c r="N16" s="225">
        <f>-Персонал!N51</f>
        <v>-7743.5655017834051</v>
      </c>
      <c r="O16" s="225">
        <f>-Персонал!O51</f>
        <v>-8177.2051698832765</v>
      </c>
      <c r="P16" s="349"/>
      <c r="Q16" s="156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outlineLevel="1">
      <c r="A17" s="255" t="str">
        <f t="array" aca="1" ref="A17" ca="1">HYPERLINK(CELL("адрес",ОбщПрРасходы!A12),"источник")</f>
        <v>источник</v>
      </c>
      <c r="B17" s="387" t="s">
        <v>266</v>
      </c>
      <c r="C17" s="264" t="s">
        <v>19</v>
      </c>
      <c r="D17" s="244">
        <f t="shared" si="5"/>
        <v>-84042.749860710202</v>
      </c>
      <c r="E17" s="71"/>
      <c r="F17" s="225">
        <f>-ОбщПрРасходы!F12</f>
        <v>-7000</v>
      </c>
      <c r="G17" s="225">
        <f>-ОбщПрРасходы!G12</f>
        <v>-7280</v>
      </c>
      <c r="H17" s="225">
        <f>-ОбщПрРасходы!H12</f>
        <v>-7571.2000000000007</v>
      </c>
      <c r="I17" s="225">
        <f>-ОбщПрРасходы!I12</f>
        <v>-7874.0480000000007</v>
      </c>
      <c r="J17" s="225">
        <f>-ОбщПрРасходы!J12</f>
        <v>-8189.0099200000004</v>
      </c>
      <c r="K17" s="225">
        <f>-ОбщПрРасходы!K12</f>
        <v>-8516.5703168000018</v>
      </c>
      <c r="L17" s="225">
        <f>-ОбщПрРасходы!L12</f>
        <v>-8857.2331294720007</v>
      </c>
      <c r="M17" s="225">
        <f>-ОбщПрРасходы!M12</f>
        <v>-9211.5224546508816</v>
      </c>
      <c r="N17" s="225">
        <f>-ОбщПрРасходы!N12</f>
        <v>-9579.9833528369163</v>
      </c>
      <c r="O17" s="225">
        <f>-ОбщПрРасходы!O12</f>
        <v>-9963.1826869503948</v>
      </c>
      <c r="P17" s="349"/>
      <c r="Q17" s="156"/>
    </row>
    <row r="18" spans="1:17" outlineLevel="1">
      <c r="A18" s="255" t="str">
        <f t="array" aca="1" ref="A18" ca="1">HYPERLINK(CELL("адрес",АдмРасходы!A12),"источник")</f>
        <v>источник</v>
      </c>
      <c r="B18" s="387" t="s">
        <v>466</v>
      </c>
      <c r="C18" s="264" t="s">
        <v>19</v>
      </c>
      <c r="D18" s="244">
        <f t="shared" si="5"/>
        <v>-127264.73550336117</v>
      </c>
      <c r="E18" s="71"/>
      <c r="F18" s="225">
        <f>-АдмРасходы!F12</f>
        <v>-10600</v>
      </c>
      <c r="G18" s="225">
        <f>-АдмРасходы!G12</f>
        <v>-11024</v>
      </c>
      <c r="H18" s="225">
        <f>-АдмРасходы!H12</f>
        <v>-11464.96</v>
      </c>
      <c r="I18" s="225">
        <f>-АдмРасходы!I12</f>
        <v>-11923.558400000002</v>
      </c>
      <c r="J18" s="225">
        <f>-АдмРасходы!J12</f>
        <v>-12400.500736000002</v>
      </c>
      <c r="K18" s="225">
        <f>-АдмРасходы!K12</f>
        <v>-12896.520765440004</v>
      </c>
      <c r="L18" s="225">
        <f>-АдмРасходы!L12</f>
        <v>-13412.381596057603</v>
      </c>
      <c r="M18" s="225">
        <f>-АдмРасходы!M12</f>
        <v>-13948.876859899909</v>
      </c>
      <c r="N18" s="225">
        <f>-АдмРасходы!N12</f>
        <v>-14506.831934295906</v>
      </c>
      <c r="O18" s="225">
        <f>-АдмРасходы!O12</f>
        <v>-15087.105211667744</v>
      </c>
      <c r="P18" s="349"/>
      <c r="Q18" s="156"/>
    </row>
    <row r="19" spans="1:17" outlineLevel="1">
      <c r="A19" s="384"/>
      <c r="B19" s="387" t="s">
        <v>1228</v>
      </c>
      <c r="C19" s="264" t="s">
        <v>19</v>
      </c>
      <c r="D19" s="244">
        <f t="shared" ca="1" si="5"/>
        <v>-24472.986979542482</v>
      </c>
      <c r="E19" s="71"/>
      <c r="F19" s="225">
        <f ca="1">-УСН!F7</f>
        <v>-390.37199999999939</v>
      </c>
      <c r="G19" s="225">
        <f ca="1">-УСН!G7</f>
        <v>-930.51283200000069</v>
      </c>
      <c r="H19" s="225">
        <f ca="1">-УСН!H7</f>
        <v>-1673.8887505920013</v>
      </c>
      <c r="I19" s="225">
        <f ca="1">-УСН!I7</f>
        <v>-2642.2948086251581</v>
      </c>
      <c r="J19" s="225">
        <f ca="1">-УСН!J7</f>
        <v>-3157.2839438281667</v>
      </c>
      <c r="K19" s="225">
        <f ca="1">-УСН!K7</f>
        <v>-3159.8765079273412</v>
      </c>
      <c r="L19" s="225">
        <f ca="1">-УСН!L7</f>
        <v>-3155.6456421458624</v>
      </c>
      <c r="M19" s="225">
        <f ca="1">-УСН!M7</f>
        <v>-3143.930489871605</v>
      </c>
      <c r="N19" s="225">
        <f ca="1">-УСН!N7</f>
        <v>-3124.0220367406109</v>
      </c>
      <c r="O19" s="225">
        <f ca="1">-УСН!O7</f>
        <v>-3095.1599678117341</v>
      </c>
      <c r="P19" s="349"/>
      <c r="Q19" s="156"/>
    </row>
    <row r="20" spans="1:17" outlineLevel="1">
      <c r="A20" s="255" t="str">
        <f t="array" aca="1" ref="A20" ca="1">HYPERLINK(CELL("адрес",НДС!A16),"источник")</f>
        <v>источник</v>
      </c>
      <c r="B20" s="387" t="s">
        <v>74</v>
      </c>
      <c r="C20" s="264" t="s">
        <v>19</v>
      </c>
      <c r="D20" s="244">
        <f t="shared" si="5"/>
        <v>-77931.453479970573</v>
      </c>
      <c r="E20" s="71"/>
      <c r="F20" s="225">
        <f>-НДС!F16</f>
        <v>-5500</v>
      </c>
      <c r="G20" s="225">
        <f>-НДС!G16</f>
        <v>-6032</v>
      </c>
      <c r="H20" s="225">
        <f>-НДС!H16</f>
        <v>-6597.7600000000011</v>
      </c>
      <c r="I20" s="225">
        <f>-НДС!I16</f>
        <v>-7424.1024000000025</v>
      </c>
      <c r="J20" s="225">
        <f>-НДС!J16</f>
        <v>-7896.545280000003</v>
      </c>
      <c r="K20" s="225">
        <f>-НДС!K16</f>
        <v>-8212.4070912000025</v>
      </c>
      <c r="L20" s="225">
        <f>-НДС!L16</f>
        <v>-8540.9033748480033</v>
      </c>
      <c r="M20" s="225">
        <f>-НДС!M16</f>
        <v>-8882.5395098419231</v>
      </c>
      <c r="N20" s="225">
        <f>-НДС!N16</f>
        <v>-9237.841090235599</v>
      </c>
      <c r="O20" s="225">
        <f>-НДС!O16</f>
        <v>-9607.3547338450244</v>
      </c>
      <c r="P20" s="349"/>
      <c r="Q20" s="156"/>
    </row>
    <row r="21" spans="1:17" outlineLevel="1">
      <c r="A21" s="255" t="str">
        <f t="array" aca="1" ref="A21" ca="1">HYPERLINK(CELL("адрес",НалИмущество!A13),"источник")</f>
        <v>источник</v>
      </c>
      <c r="B21" s="387" t="s">
        <v>465</v>
      </c>
      <c r="C21" s="264" t="s">
        <v>19</v>
      </c>
      <c r="D21" s="244">
        <f t="shared" si="5"/>
        <v>0</v>
      </c>
      <c r="E21" s="71"/>
      <c r="F21" s="225">
        <f>-НалИмущество!F13</f>
        <v>0</v>
      </c>
      <c r="G21" s="225">
        <f>-НалИмущество!G13</f>
        <v>0</v>
      </c>
      <c r="H21" s="225">
        <f>-НалИмущество!H13</f>
        <v>0</v>
      </c>
      <c r="I21" s="225">
        <f>-НалИмущество!I13</f>
        <v>0</v>
      </c>
      <c r="J21" s="225">
        <f>-НалИмущество!J13</f>
        <v>0</v>
      </c>
      <c r="K21" s="225">
        <f>-НалИмущество!K13</f>
        <v>0</v>
      </c>
      <c r="L21" s="225">
        <f>-НалИмущество!L13</f>
        <v>0</v>
      </c>
      <c r="M21" s="225">
        <f>-НалИмущество!M13</f>
        <v>0</v>
      </c>
      <c r="N21" s="225">
        <f>-НалИмущество!N13</f>
        <v>0</v>
      </c>
      <c r="O21" s="225">
        <f>-НалИмущество!O13</f>
        <v>0</v>
      </c>
      <c r="P21" s="349"/>
      <c r="Q21" s="156"/>
    </row>
    <row r="22" spans="1:17" outlineLevel="1">
      <c r="A22" s="221" t="str">
        <f t="array" aca="1" ref="A22" ca="1">HYPERLINK(CELL("адрес",НалПрибыль!A15),"источник")</f>
        <v>источник</v>
      </c>
      <c r="B22" s="387" t="s">
        <v>340</v>
      </c>
      <c r="C22" s="264" t="s">
        <v>19</v>
      </c>
      <c r="D22" s="244">
        <f t="shared" ca="1" si="5"/>
        <v>0</v>
      </c>
      <c r="E22" s="71"/>
      <c r="F22" s="225">
        <f ca="1">-НалПрибыль!F15</f>
        <v>0</v>
      </c>
      <c r="G22" s="225">
        <f ca="1">-НалПрибыль!G15</f>
        <v>0</v>
      </c>
      <c r="H22" s="225">
        <f ca="1">-НалПрибыль!H15</f>
        <v>0</v>
      </c>
      <c r="I22" s="225">
        <f ca="1">-НалПрибыль!I15</f>
        <v>0</v>
      </c>
      <c r="J22" s="225">
        <f ca="1">-НалПрибыль!J15</f>
        <v>0</v>
      </c>
      <c r="K22" s="225">
        <f ca="1">-НалПрибыль!K15</f>
        <v>0</v>
      </c>
      <c r="L22" s="225">
        <f ca="1">-НалПрибыль!L15</f>
        <v>0</v>
      </c>
      <c r="M22" s="225">
        <f ca="1">-НалПрибыль!M15</f>
        <v>0</v>
      </c>
      <c r="N22" s="225">
        <f ca="1">-НалПрибыль!N15</f>
        <v>0</v>
      </c>
      <c r="O22" s="225">
        <f ca="1">-НалПрибыль!O15</f>
        <v>0</v>
      </c>
      <c r="P22" s="349"/>
      <c r="Q22" s="156"/>
    </row>
    <row r="23" spans="1:17" outlineLevel="1">
      <c r="A23" s="384"/>
      <c r="B23" s="387" t="s">
        <v>341</v>
      </c>
      <c r="C23" s="264" t="s">
        <v>19</v>
      </c>
      <c r="D23" s="244">
        <f t="shared" si="5"/>
        <v>0</v>
      </c>
      <c r="E23" s="71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349"/>
      <c r="Q23" s="156"/>
    </row>
    <row r="24" spans="1:17" outlineLevel="1">
      <c r="A24" s="255" t="str">
        <f t="array" aca="1" ref="A24" ca="1">HYPERLINK(CELL("адрес",ПрочРасходы!A5),"источник")</f>
        <v>источник</v>
      </c>
      <c r="B24" s="387" t="s">
        <v>278</v>
      </c>
      <c r="C24" s="264" t="s">
        <v>19</v>
      </c>
      <c r="D24" s="244">
        <f t="shared" si="5"/>
        <v>-28214.351738952715</v>
      </c>
      <c r="E24" s="71"/>
      <c r="F24" s="225">
        <f>-ПрочРасходы!F5</f>
        <v>-2350</v>
      </c>
      <c r="G24" s="225">
        <f>-ПрочРасходы!G5</f>
        <v>-2444</v>
      </c>
      <c r="H24" s="225">
        <f>-ПрочРасходы!H5</f>
        <v>-2541.7600000000002</v>
      </c>
      <c r="I24" s="225">
        <f>-ПрочРасходы!I5</f>
        <v>-2643.4304000000002</v>
      </c>
      <c r="J24" s="225">
        <f>-ПрочРасходы!J5</f>
        <v>-2749.1676160000006</v>
      </c>
      <c r="K24" s="225">
        <f>-ПрочРасходы!K5</f>
        <v>-2859.1343206400011</v>
      </c>
      <c r="L24" s="225">
        <f>-ПрочРасходы!L5</f>
        <v>-2973.499693465601</v>
      </c>
      <c r="M24" s="225">
        <f>-ПрочРасходы!M5</f>
        <v>-3092.4396812042251</v>
      </c>
      <c r="N24" s="225">
        <f>-ПрочРасходы!N5</f>
        <v>-3216.1372684523944</v>
      </c>
      <c r="O24" s="225">
        <f>-ПрочРасходы!O5</f>
        <v>-3344.7827591904902</v>
      </c>
      <c r="P24" s="349"/>
      <c r="Q24" s="156"/>
    </row>
    <row r="25" spans="1:17" outlineLevel="1">
      <c r="A25" s="255" t="str">
        <f t="array" aca="1" ref="A25" ca="1">HYPERLINK(CELL("адрес",Финансы!A26),"источник")</f>
        <v>источник</v>
      </c>
      <c r="B25" s="387" t="s">
        <v>223</v>
      </c>
      <c r="C25" s="264" t="s">
        <v>19</v>
      </c>
      <c r="D25" s="244">
        <f>SUM(F25:O25)</f>
        <v>0</v>
      </c>
      <c r="E25" s="71"/>
      <c r="F25" s="225">
        <f>-Финансы!F36</f>
        <v>0</v>
      </c>
      <c r="G25" s="225">
        <f>-Финансы!G36</f>
        <v>0</v>
      </c>
      <c r="H25" s="225">
        <f>-Финансы!H36</f>
        <v>0</v>
      </c>
      <c r="I25" s="225">
        <f>-Финансы!I36</f>
        <v>0</v>
      </c>
      <c r="J25" s="225">
        <f>-Финансы!J36</f>
        <v>0</v>
      </c>
      <c r="K25" s="225">
        <f>-Финансы!K36</f>
        <v>0</v>
      </c>
      <c r="L25" s="225">
        <f>-Финансы!L36</f>
        <v>0</v>
      </c>
      <c r="M25" s="225">
        <f>-Финансы!M36</f>
        <v>0</v>
      </c>
      <c r="N25" s="225">
        <f>-Финансы!N36</f>
        <v>0</v>
      </c>
      <c r="O25" s="225">
        <f>-Финансы!O36</f>
        <v>0</v>
      </c>
      <c r="P25" s="349"/>
      <c r="Q25" s="156"/>
    </row>
    <row r="26" spans="1:17" outlineLevel="1">
      <c r="A26" s="255"/>
      <c r="B26" s="387"/>
      <c r="C26" s="264"/>
      <c r="D26" s="244"/>
      <c r="E26" s="71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349"/>
      <c r="Q26" s="156"/>
    </row>
    <row r="27" spans="1:17">
      <c r="A27" s="383"/>
      <c r="B27" s="386" t="s">
        <v>70</v>
      </c>
      <c r="C27" s="264" t="s">
        <v>19</v>
      </c>
      <c r="D27" s="223">
        <f ca="1">D7+D11</f>
        <v>27063.993107763818</v>
      </c>
      <c r="E27" s="71"/>
      <c r="F27" s="652">
        <f ca="1">F7+F11</f>
        <v>-6416.372000000003</v>
      </c>
      <c r="G27" s="652">
        <f t="shared" ref="G27:O27" ca="1" si="6">G7+G11</f>
        <v>-3838.7688320000016</v>
      </c>
      <c r="H27" s="652">
        <f t="shared" ca="1" si="6"/>
        <v>-136.55908659199486</v>
      </c>
      <c r="I27" s="652">
        <f t="shared" ca="1" si="6"/>
        <v>4812.2472365588765</v>
      </c>
      <c r="J27" s="652">
        <f t="shared" ca="1" si="6"/>
        <v>7161.5166286861349</v>
      </c>
      <c r="K27" s="652">
        <f t="shared" ca="1" si="6"/>
        <v>6575.3413182797667</v>
      </c>
      <c r="L27" s="652">
        <f t="shared" ca="1" si="6"/>
        <v>5916.8513808261196</v>
      </c>
      <c r="M27" s="652">
        <f t="shared" ca="1" si="6"/>
        <v>5180.4176448239887</v>
      </c>
      <c r="N27" s="652">
        <f t="shared" ca="1" si="6"/>
        <v>4360.0325230725866</v>
      </c>
      <c r="O27" s="652">
        <f t="shared" ca="1" si="6"/>
        <v>3449.2862941086933</v>
      </c>
      <c r="P27" s="688"/>
      <c r="Q27" s="156"/>
    </row>
    <row r="28" spans="1:17" ht="6.95" customHeight="1">
      <c r="A28" s="383"/>
      <c r="B28" s="386"/>
      <c r="C28" s="370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156"/>
    </row>
    <row r="29" spans="1:17">
      <c r="A29" s="382" t="s">
        <v>71</v>
      </c>
      <c r="B29" s="78"/>
      <c r="C29" s="392"/>
      <c r="D29" s="395"/>
      <c r="E29" s="71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677"/>
      <c r="Q29" s="156"/>
    </row>
    <row r="30" spans="1:17">
      <c r="A30" s="383"/>
      <c r="B30" s="386" t="s">
        <v>72</v>
      </c>
      <c r="C30" s="264" t="s">
        <v>19</v>
      </c>
      <c r="D30" s="223">
        <f>SUM(D31:D32)</f>
        <v>0</v>
      </c>
      <c r="E30" s="71"/>
      <c r="F30" s="223">
        <f t="shared" ref="F30:O30" si="7">SUM(F31:F32)</f>
        <v>0</v>
      </c>
      <c r="G30" s="223">
        <f t="shared" si="7"/>
        <v>0</v>
      </c>
      <c r="H30" s="223">
        <f t="shared" si="7"/>
        <v>0</v>
      </c>
      <c r="I30" s="223">
        <f t="shared" si="7"/>
        <v>0</v>
      </c>
      <c r="J30" s="223">
        <f t="shared" si="7"/>
        <v>0</v>
      </c>
      <c r="K30" s="223">
        <f t="shared" si="7"/>
        <v>0</v>
      </c>
      <c r="L30" s="223">
        <f t="shared" si="7"/>
        <v>0</v>
      </c>
      <c r="M30" s="223">
        <f t="shared" si="7"/>
        <v>0</v>
      </c>
      <c r="N30" s="223">
        <f t="shared" si="7"/>
        <v>0</v>
      </c>
      <c r="O30" s="223">
        <f t="shared" si="7"/>
        <v>0</v>
      </c>
      <c r="P30" s="348"/>
      <c r="Q30" s="156"/>
    </row>
    <row r="31" spans="1:17" outlineLevel="1">
      <c r="A31" s="384"/>
      <c r="B31" s="387" t="s">
        <v>75</v>
      </c>
      <c r="C31" s="264" t="s">
        <v>19</v>
      </c>
      <c r="D31" s="244">
        <f>SUM(F31:O31)</f>
        <v>0</v>
      </c>
      <c r="E31" s="71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349"/>
      <c r="Q31" s="156"/>
    </row>
    <row r="32" spans="1:17" outlineLevel="1">
      <c r="A32" s="255" t="str">
        <f t="array" aca="1" ref="A32" ca="1">HYPERLINK(CELL("адрес",Инвестиции!A8),"источник")</f>
        <v>источник</v>
      </c>
      <c r="B32" s="387" t="s">
        <v>77</v>
      </c>
      <c r="C32" s="264" t="s">
        <v>19</v>
      </c>
      <c r="D32" s="244">
        <f>SUM(F32:O32)</f>
        <v>0</v>
      </c>
      <c r="E32" s="71"/>
      <c r="F32" s="225">
        <f>Инвестиции!F8</f>
        <v>0</v>
      </c>
      <c r="G32" s="225">
        <f>Инвестиции!G8</f>
        <v>0</v>
      </c>
      <c r="H32" s="225">
        <f>Инвестиции!H8</f>
        <v>0</v>
      </c>
      <c r="I32" s="225">
        <f>Инвестиции!I8</f>
        <v>0</v>
      </c>
      <c r="J32" s="225">
        <f>Инвестиции!J8</f>
        <v>0</v>
      </c>
      <c r="K32" s="225">
        <f>Инвестиции!K8</f>
        <v>0</v>
      </c>
      <c r="L32" s="225">
        <f>Инвестиции!L8</f>
        <v>0</v>
      </c>
      <c r="M32" s="225">
        <f>Инвестиции!M8</f>
        <v>0</v>
      </c>
      <c r="N32" s="225">
        <f>Инвестиции!N8</f>
        <v>0</v>
      </c>
      <c r="O32" s="225">
        <f>Инвестиции!O8</f>
        <v>0</v>
      </c>
      <c r="P32" s="349"/>
      <c r="Q32" s="156"/>
    </row>
    <row r="33" spans="1:17" outlineLevel="1">
      <c r="A33" s="384"/>
      <c r="B33" s="388"/>
      <c r="C33" s="264" t="s">
        <v>19</v>
      </c>
      <c r="D33" s="396"/>
      <c r="E33" s="71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229"/>
      <c r="Q33" s="156"/>
    </row>
    <row r="34" spans="1:17">
      <c r="A34" s="383"/>
      <c r="B34" s="386" t="s">
        <v>73</v>
      </c>
      <c r="C34" s="264" t="s">
        <v>19</v>
      </c>
      <c r="D34" s="223">
        <f>SUM(D35:D36)</f>
        <v>0</v>
      </c>
      <c r="E34" s="71"/>
      <c r="F34" s="223">
        <f t="shared" ref="F34:O34" si="8">SUM(F35:F36)</f>
        <v>0</v>
      </c>
      <c r="G34" s="223">
        <f t="shared" si="8"/>
        <v>0</v>
      </c>
      <c r="H34" s="223">
        <f t="shared" si="8"/>
        <v>0</v>
      </c>
      <c r="I34" s="223">
        <f t="shared" si="8"/>
        <v>0</v>
      </c>
      <c r="J34" s="223">
        <f t="shared" si="8"/>
        <v>0</v>
      </c>
      <c r="K34" s="223">
        <f t="shared" si="8"/>
        <v>0</v>
      </c>
      <c r="L34" s="223">
        <f t="shared" si="8"/>
        <v>0</v>
      </c>
      <c r="M34" s="223">
        <f t="shared" si="8"/>
        <v>0</v>
      </c>
      <c r="N34" s="223">
        <f t="shared" si="8"/>
        <v>0</v>
      </c>
      <c r="O34" s="223">
        <f t="shared" si="8"/>
        <v>0</v>
      </c>
      <c r="P34" s="348"/>
      <c r="Q34" s="156"/>
    </row>
    <row r="35" spans="1:17" outlineLevel="1">
      <c r="A35" s="255" t="str">
        <f t="array" aca="1" ref="A35" ca="1">HYPERLINK(CELL("адрес",Инвестиции!A7),"источник")</f>
        <v>источник</v>
      </c>
      <c r="B35" s="387" t="s">
        <v>215</v>
      </c>
      <c r="C35" s="264" t="s">
        <v>19</v>
      </c>
      <c r="D35" s="244">
        <f>SUM(F35:O35)</f>
        <v>0</v>
      </c>
      <c r="E35" s="71"/>
      <c r="F35" s="225">
        <f>-Инвестиции!F7</f>
        <v>0</v>
      </c>
      <c r="G35" s="225">
        <f>-Инвестиции!G7</f>
        <v>0</v>
      </c>
      <c r="H35" s="225">
        <f>-Инвестиции!H7</f>
        <v>0</v>
      </c>
      <c r="I35" s="225">
        <f>-Инвестиции!I7</f>
        <v>0</v>
      </c>
      <c r="J35" s="225">
        <f>-Инвестиции!J7</f>
        <v>0</v>
      </c>
      <c r="K35" s="225">
        <f>-Инвестиции!K7</f>
        <v>0</v>
      </c>
      <c r="L35" s="225">
        <f>-Инвестиции!L7</f>
        <v>0</v>
      </c>
      <c r="M35" s="225">
        <f>-Инвестиции!M7</f>
        <v>0</v>
      </c>
      <c r="N35" s="225">
        <f>-Инвестиции!N7</f>
        <v>0</v>
      </c>
      <c r="O35" s="225">
        <f>-Инвестиции!O7</f>
        <v>0</v>
      </c>
      <c r="P35" s="349"/>
      <c r="Q35" s="156"/>
    </row>
    <row r="36" spans="1:17" outlineLevel="1">
      <c r="A36" s="384"/>
      <c r="B36" s="387"/>
      <c r="C36" s="264" t="s">
        <v>19</v>
      </c>
      <c r="D36" s="244">
        <f>SUM(F36:O36)</f>
        <v>0</v>
      </c>
      <c r="E36" s="71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349"/>
      <c r="Q36" s="156"/>
    </row>
    <row r="37" spans="1:17" outlineLevel="1">
      <c r="A37" s="384"/>
      <c r="B37" s="389"/>
      <c r="C37" s="264" t="s">
        <v>19</v>
      </c>
      <c r="D37" s="397"/>
      <c r="E37" s="71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678"/>
      <c r="Q37" s="156"/>
    </row>
    <row r="38" spans="1:17">
      <c r="A38" s="383"/>
      <c r="B38" s="386" t="s">
        <v>76</v>
      </c>
      <c r="C38" s="264" t="s">
        <v>19</v>
      </c>
      <c r="D38" s="223">
        <f>D30+D34</f>
        <v>0</v>
      </c>
      <c r="E38" s="71"/>
      <c r="F38" s="223">
        <f t="shared" ref="F38:O38" si="9">F30+F34</f>
        <v>0</v>
      </c>
      <c r="G38" s="223">
        <f t="shared" si="9"/>
        <v>0</v>
      </c>
      <c r="H38" s="223">
        <f t="shared" si="9"/>
        <v>0</v>
      </c>
      <c r="I38" s="223">
        <f t="shared" si="9"/>
        <v>0</v>
      </c>
      <c r="J38" s="223">
        <f t="shared" si="9"/>
        <v>0</v>
      </c>
      <c r="K38" s="223">
        <f t="shared" si="9"/>
        <v>0</v>
      </c>
      <c r="L38" s="223">
        <f t="shared" si="9"/>
        <v>0</v>
      </c>
      <c r="M38" s="223">
        <f t="shared" si="9"/>
        <v>0</v>
      </c>
      <c r="N38" s="223">
        <f t="shared" si="9"/>
        <v>0</v>
      </c>
      <c r="O38" s="223">
        <f t="shared" si="9"/>
        <v>0</v>
      </c>
      <c r="P38" s="348"/>
      <c r="Q38" s="156"/>
    </row>
    <row r="39" spans="1:17">
      <c r="A39" s="146"/>
      <c r="B39" s="146"/>
      <c r="C39" s="370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156"/>
    </row>
    <row r="40" spans="1:17">
      <c r="A40" s="382" t="s">
        <v>78</v>
      </c>
      <c r="B40" s="78"/>
      <c r="C40" s="392"/>
      <c r="D40" s="395"/>
      <c r="E40" s="71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677"/>
      <c r="Q40" s="156"/>
    </row>
    <row r="41" spans="1:17">
      <c r="A41" s="383"/>
      <c r="B41" s="386" t="s">
        <v>72</v>
      </c>
      <c r="C41" s="264" t="s">
        <v>19</v>
      </c>
      <c r="D41" s="223">
        <f>SUM(D42:D45)</f>
        <v>20000</v>
      </c>
      <c r="E41" s="71"/>
      <c r="F41" s="223">
        <f t="shared" ref="F41:O41" si="10">SUM(F42:F45)</f>
        <v>10000</v>
      </c>
      <c r="G41" s="223">
        <f t="shared" si="10"/>
        <v>0</v>
      </c>
      <c r="H41" s="223">
        <f t="shared" si="10"/>
        <v>0</v>
      </c>
      <c r="I41" s="223">
        <f t="shared" si="10"/>
        <v>0</v>
      </c>
      <c r="J41" s="223">
        <f t="shared" si="10"/>
        <v>0</v>
      </c>
      <c r="K41" s="223">
        <f t="shared" si="10"/>
        <v>10000</v>
      </c>
      <c r="L41" s="223">
        <f t="shared" si="10"/>
        <v>0</v>
      </c>
      <c r="M41" s="223">
        <f t="shared" si="10"/>
        <v>0</v>
      </c>
      <c r="N41" s="223">
        <f t="shared" si="10"/>
        <v>0</v>
      </c>
      <c r="O41" s="223">
        <f t="shared" si="10"/>
        <v>0</v>
      </c>
      <c r="P41" s="348"/>
      <c r="Q41" s="156"/>
    </row>
    <row r="42" spans="1:17" outlineLevel="1">
      <c r="A42" s="255" t="str">
        <f t="array" aca="1" ref="A42" ca="1">HYPERLINK(CELL("адрес",Финансы!A7),"источник")</f>
        <v>источник</v>
      </c>
      <c r="B42" s="387" t="s">
        <v>279</v>
      </c>
      <c r="C42" s="264" t="s">
        <v>19</v>
      </c>
      <c r="D42" s="244">
        <f>SUM(F42:O42)</f>
        <v>20000</v>
      </c>
      <c r="E42" s="71"/>
      <c r="F42" s="225">
        <f>Финансы!F7</f>
        <v>10000</v>
      </c>
      <c r="G42" s="225">
        <f>Финансы!G7</f>
        <v>0</v>
      </c>
      <c r="H42" s="225">
        <f>Финансы!H7</f>
        <v>0</v>
      </c>
      <c r="I42" s="225">
        <f>Финансы!I7</f>
        <v>0</v>
      </c>
      <c r="J42" s="225">
        <f>Финансы!J7</f>
        <v>0</v>
      </c>
      <c r="K42" s="225">
        <f>Финансы!K7</f>
        <v>10000</v>
      </c>
      <c r="L42" s="225">
        <f>Финансы!L7</f>
        <v>0</v>
      </c>
      <c r="M42" s="225">
        <f>Финансы!M7</f>
        <v>0</v>
      </c>
      <c r="N42" s="225">
        <f>Финансы!N7</f>
        <v>0</v>
      </c>
      <c r="O42" s="225">
        <f>Финансы!O7</f>
        <v>0</v>
      </c>
      <c r="P42" s="349"/>
      <c r="Q42" s="156"/>
    </row>
    <row r="43" spans="1:17" outlineLevel="1">
      <c r="A43" s="384"/>
      <c r="B43" s="387" t="s">
        <v>80</v>
      </c>
      <c r="C43" s="264" t="s">
        <v>19</v>
      </c>
      <c r="D43" s="244">
        <f>SUM(F43:O43)</f>
        <v>0</v>
      </c>
      <c r="E43" s="71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349"/>
      <c r="Q43" s="156"/>
    </row>
    <row r="44" spans="1:17" outlineLevel="1">
      <c r="A44" s="384"/>
      <c r="B44" s="387" t="s">
        <v>81</v>
      </c>
      <c r="C44" s="264" t="s">
        <v>19</v>
      </c>
      <c r="D44" s="244">
        <f>SUM(F44:O44)</f>
        <v>0</v>
      </c>
      <c r="E44" s="71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349"/>
      <c r="Q44" s="156"/>
    </row>
    <row r="45" spans="1:17" outlineLevel="1">
      <c r="A45" s="255" t="str">
        <f t="array" aca="1" ref="A45" ca="1">HYPERLINK(CELL("адрес",Финансы!A22),"источник")</f>
        <v>источник</v>
      </c>
      <c r="B45" s="387" t="s">
        <v>224</v>
      </c>
      <c r="C45" s="264" t="s">
        <v>19</v>
      </c>
      <c r="D45" s="244">
        <f>SUM(F45:O45)</f>
        <v>0</v>
      </c>
      <c r="E45" s="71"/>
      <c r="F45" s="244">
        <f>Финансы!F32</f>
        <v>0</v>
      </c>
      <c r="G45" s="244">
        <f>Финансы!G32</f>
        <v>0</v>
      </c>
      <c r="H45" s="244">
        <f>Финансы!H32</f>
        <v>0</v>
      </c>
      <c r="I45" s="244">
        <f>Финансы!I32</f>
        <v>0</v>
      </c>
      <c r="J45" s="244">
        <f>Финансы!J32</f>
        <v>0</v>
      </c>
      <c r="K45" s="244">
        <f>Финансы!K32</f>
        <v>0</v>
      </c>
      <c r="L45" s="244">
        <f>Финансы!L32</f>
        <v>0</v>
      </c>
      <c r="M45" s="244">
        <f>Финансы!M32</f>
        <v>0</v>
      </c>
      <c r="N45" s="244">
        <f>Финансы!N32</f>
        <v>0</v>
      </c>
      <c r="O45" s="244">
        <f>Финансы!O32</f>
        <v>0</v>
      </c>
      <c r="P45" s="349"/>
      <c r="Q45" s="156"/>
    </row>
    <row r="46" spans="1:17" outlineLevel="1">
      <c r="A46" s="384"/>
      <c r="B46" s="388"/>
      <c r="C46" s="264" t="s">
        <v>19</v>
      </c>
      <c r="D46" s="396"/>
      <c r="E46" s="71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229"/>
      <c r="Q46" s="156"/>
    </row>
    <row r="47" spans="1:17">
      <c r="A47" s="383"/>
      <c r="B47" s="386" t="s">
        <v>73</v>
      </c>
      <c r="C47" s="264" t="s">
        <v>19</v>
      </c>
      <c r="D47" s="223">
        <f>SUM(D48:D50)</f>
        <v>0</v>
      </c>
      <c r="E47" s="71"/>
      <c r="F47" s="223">
        <f t="shared" ref="F47:O47" si="11">SUM(F48:F50)</f>
        <v>0</v>
      </c>
      <c r="G47" s="223">
        <f t="shared" si="11"/>
        <v>0</v>
      </c>
      <c r="H47" s="223">
        <f t="shared" si="11"/>
        <v>0</v>
      </c>
      <c r="I47" s="223">
        <f t="shared" si="11"/>
        <v>0</v>
      </c>
      <c r="J47" s="223">
        <f t="shared" si="11"/>
        <v>0</v>
      </c>
      <c r="K47" s="223">
        <f t="shared" si="11"/>
        <v>0</v>
      </c>
      <c r="L47" s="223">
        <f t="shared" si="11"/>
        <v>0</v>
      </c>
      <c r="M47" s="223">
        <f t="shared" si="11"/>
        <v>0</v>
      </c>
      <c r="N47" s="223">
        <f t="shared" si="11"/>
        <v>0</v>
      </c>
      <c r="O47" s="223">
        <f t="shared" si="11"/>
        <v>0</v>
      </c>
      <c r="P47" s="348"/>
      <c r="Q47" s="156"/>
    </row>
    <row r="48" spans="1:17" outlineLevel="1">
      <c r="A48" s="255" t="str">
        <f t="array" aca="1" ref="A48" ca="1">HYPERLINK(CELL("адрес",Финансы!A23),"источник")</f>
        <v>источник</v>
      </c>
      <c r="B48" s="387" t="s">
        <v>328</v>
      </c>
      <c r="C48" s="264" t="s">
        <v>19</v>
      </c>
      <c r="D48" s="244">
        <f>SUM(F48:O48)</f>
        <v>0</v>
      </c>
      <c r="E48" s="71"/>
      <c r="F48" s="225">
        <f>-Финансы!F33</f>
        <v>0</v>
      </c>
      <c r="G48" s="225">
        <f>-Финансы!G33</f>
        <v>0</v>
      </c>
      <c r="H48" s="225">
        <f>-Финансы!H33</f>
        <v>0</v>
      </c>
      <c r="I48" s="225">
        <f>-Финансы!I33</f>
        <v>0</v>
      </c>
      <c r="J48" s="225">
        <f>-Финансы!J33</f>
        <v>0</v>
      </c>
      <c r="K48" s="225">
        <f>-Финансы!K33</f>
        <v>0</v>
      </c>
      <c r="L48" s="225">
        <f>-Финансы!L33</f>
        <v>0</v>
      </c>
      <c r="M48" s="225">
        <f>-Финансы!M33</f>
        <v>0</v>
      </c>
      <c r="N48" s="225">
        <f>-Финансы!N33</f>
        <v>0</v>
      </c>
      <c r="O48" s="225">
        <f>-Финансы!O33</f>
        <v>0</v>
      </c>
      <c r="P48" s="349"/>
      <c r="Q48" s="156"/>
    </row>
    <row r="49" spans="1:17">
      <c r="A49" s="71"/>
      <c r="B49" s="71"/>
      <c r="C49" s="39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156"/>
    </row>
    <row r="50" spans="1:17" outlineLevel="1">
      <c r="A50" s="384"/>
      <c r="B50" s="387" t="s">
        <v>82</v>
      </c>
      <c r="C50" s="264" t="s">
        <v>19</v>
      </c>
      <c r="D50" s="244">
        <f>SUM(F50:O50)</f>
        <v>0</v>
      </c>
      <c r="E50" s="71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349"/>
      <c r="Q50" s="156"/>
    </row>
    <row r="51" spans="1:17" outlineLevel="1">
      <c r="A51" s="384"/>
      <c r="B51" s="389"/>
      <c r="C51" s="264"/>
      <c r="D51" s="397"/>
      <c r="E51" s="71"/>
      <c r="F51" s="378"/>
      <c r="G51" s="378"/>
      <c r="H51" s="378"/>
      <c r="I51" s="378"/>
      <c r="J51" s="378"/>
      <c r="K51" s="378"/>
      <c r="L51" s="378"/>
      <c r="M51" s="378"/>
      <c r="N51" s="378"/>
      <c r="O51" s="378"/>
      <c r="P51" s="678"/>
      <c r="Q51" s="156"/>
    </row>
    <row r="52" spans="1:17">
      <c r="A52" s="383"/>
      <c r="B52" s="386" t="s">
        <v>79</v>
      </c>
      <c r="C52" s="264" t="s">
        <v>19</v>
      </c>
      <c r="D52" s="223">
        <f>D41+D47</f>
        <v>20000</v>
      </c>
      <c r="E52" s="71"/>
      <c r="F52" s="223">
        <f t="shared" ref="F52:O52" si="12">F41+F47</f>
        <v>10000</v>
      </c>
      <c r="G52" s="223">
        <f t="shared" si="12"/>
        <v>0</v>
      </c>
      <c r="H52" s="223">
        <f t="shared" si="12"/>
        <v>0</v>
      </c>
      <c r="I52" s="223">
        <f t="shared" si="12"/>
        <v>0</v>
      </c>
      <c r="J52" s="223">
        <f t="shared" si="12"/>
        <v>0</v>
      </c>
      <c r="K52" s="223">
        <f t="shared" si="12"/>
        <v>10000</v>
      </c>
      <c r="L52" s="223">
        <f t="shared" si="12"/>
        <v>0</v>
      </c>
      <c r="M52" s="223">
        <f t="shared" si="12"/>
        <v>0</v>
      </c>
      <c r="N52" s="223">
        <f t="shared" si="12"/>
        <v>0</v>
      </c>
      <c r="O52" s="223">
        <f t="shared" si="12"/>
        <v>0</v>
      </c>
      <c r="P52" s="348"/>
      <c r="Q52" s="156"/>
    </row>
    <row r="53" spans="1:17" ht="6.4" customHeight="1">
      <c r="A53" s="71"/>
      <c r="B53" s="71"/>
      <c r="C53" s="367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156"/>
    </row>
    <row r="54" spans="1:17">
      <c r="A54" s="382" t="s">
        <v>83</v>
      </c>
      <c r="B54" s="78"/>
      <c r="C54" s="392"/>
      <c r="D54" s="395"/>
      <c r="E54" s="71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677"/>
      <c r="Q54" s="156"/>
    </row>
    <row r="55" spans="1:17">
      <c r="A55" s="384"/>
      <c r="B55" s="387" t="s">
        <v>72</v>
      </c>
      <c r="C55" s="264" t="s">
        <v>19</v>
      </c>
      <c r="D55" s="244">
        <f>SUM(F55:O55)</f>
        <v>1656560.5230793813</v>
      </c>
      <c r="E55" s="71"/>
      <c r="F55" s="225">
        <f t="shared" ref="F55:O55" si="13">F7+F30+F41</f>
        <v>125500</v>
      </c>
      <c r="G55" s="225">
        <f t="shared" si="13"/>
        <v>126672</v>
      </c>
      <c r="H55" s="225">
        <f t="shared" si="13"/>
        <v>138552.96000000002</v>
      </c>
      <c r="I55" s="225">
        <f t="shared" si="13"/>
        <v>155906.15040000004</v>
      </c>
      <c r="J55" s="225">
        <f t="shared" si="13"/>
        <v>165827.45088000005</v>
      </c>
      <c r="K55" s="225">
        <f t="shared" si="13"/>
        <v>182460.54891520005</v>
      </c>
      <c r="L55" s="225">
        <f t="shared" si="13"/>
        <v>179358.97087180807</v>
      </c>
      <c r="M55" s="225">
        <f t="shared" si="13"/>
        <v>186533.32970668035</v>
      </c>
      <c r="N55" s="225">
        <f t="shared" si="13"/>
        <v>193994.66289494757</v>
      </c>
      <c r="O55" s="225">
        <f t="shared" si="13"/>
        <v>201754.4494107455</v>
      </c>
      <c r="P55" s="349"/>
      <c r="Q55" s="156"/>
    </row>
    <row r="56" spans="1:17">
      <c r="A56" s="384"/>
      <c r="B56" s="387" t="s">
        <v>73</v>
      </c>
      <c r="C56" s="264" t="s">
        <v>19</v>
      </c>
      <c r="D56" s="244">
        <f ca="1">SUM(F56:O56)</f>
        <v>-1609496.5299716173</v>
      </c>
      <c r="E56" s="71"/>
      <c r="F56" s="225">
        <f t="shared" ref="F56:O56" ca="1" si="14">F11+F34+F47</f>
        <v>-121916.372</v>
      </c>
      <c r="G56" s="225">
        <f t="shared" ca="1" si="14"/>
        <v>-130510.768832</v>
      </c>
      <c r="H56" s="225">
        <f t="shared" ca="1" si="14"/>
        <v>-138689.51908659202</v>
      </c>
      <c r="I56" s="225">
        <f t="shared" ca="1" si="14"/>
        <v>-151093.90316344117</v>
      </c>
      <c r="J56" s="225">
        <f t="shared" ca="1" si="14"/>
        <v>-158665.93425131391</v>
      </c>
      <c r="K56" s="225">
        <f t="shared" ca="1" si="14"/>
        <v>-165885.20759692029</v>
      </c>
      <c r="L56" s="225">
        <f t="shared" ca="1" si="14"/>
        <v>-173442.11949098195</v>
      </c>
      <c r="M56" s="225">
        <f t="shared" ca="1" si="14"/>
        <v>-181352.91206185636</v>
      </c>
      <c r="N56" s="225">
        <f t="shared" ca="1" si="14"/>
        <v>-189634.63037187498</v>
      </c>
      <c r="O56" s="225">
        <f t="shared" ca="1" si="14"/>
        <v>-198305.1631166368</v>
      </c>
      <c r="P56" s="349"/>
      <c r="Q56" s="156"/>
    </row>
    <row r="57" spans="1:17" ht="7.15" customHeight="1">
      <c r="A57" s="384"/>
      <c r="B57" s="387"/>
      <c r="C57" s="264"/>
      <c r="D57" s="244"/>
      <c r="E57" s="71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349"/>
      <c r="Q57" s="156"/>
    </row>
    <row r="58" spans="1:17" ht="15.75" thickBot="1">
      <c r="A58" s="385"/>
      <c r="B58" s="390" t="s">
        <v>84</v>
      </c>
      <c r="C58" s="393" t="s">
        <v>19</v>
      </c>
      <c r="D58" s="379">
        <f t="shared" ref="D58:O58" ca="1" si="15">D5+D55+D56</f>
        <v>47063.99310776405</v>
      </c>
      <c r="E58" s="376"/>
      <c r="F58" s="379">
        <f t="shared" ca="1" si="15"/>
        <v>3583.627999999997</v>
      </c>
      <c r="G58" s="379">
        <f t="shared" ca="1" si="15"/>
        <v>-255.14083200000459</v>
      </c>
      <c r="H58" s="379">
        <f t="shared" ca="1" si="15"/>
        <v>-391.69991859199945</v>
      </c>
      <c r="I58" s="379">
        <f t="shared" ca="1" si="15"/>
        <v>4420.547317966877</v>
      </c>
      <c r="J58" s="379">
        <f t="shared" ca="1" si="15"/>
        <v>11582.063946653012</v>
      </c>
      <c r="K58" s="379">
        <f t="shared" ca="1" si="15"/>
        <v>28157.405264932779</v>
      </c>
      <c r="L58" s="379">
        <f t="shared" ca="1" si="15"/>
        <v>34074.256645758898</v>
      </c>
      <c r="M58" s="379">
        <f t="shared" ca="1" si="15"/>
        <v>39254.674290582887</v>
      </c>
      <c r="N58" s="379">
        <f t="shared" ca="1" si="15"/>
        <v>43614.706813655474</v>
      </c>
      <c r="O58" s="379">
        <f t="shared" ca="1" si="15"/>
        <v>47063.993107764167</v>
      </c>
      <c r="P58" s="349"/>
      <c r="Q58" s="156"/>
    </row>
    <row r="59" spans="1:17">
      <c r="A59" s="71"/>
      <c r="B59" s="71"/>
      <c r="C59" s="367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156"/>
    </row>
    <row r="60" spans="1:17">
      <c r="A60" s="71"/>
      <c r="B60" s="71"/>
      <c r="C60" s="367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156"/>
    </row>
    <row r="61" spans="1:17">
      <c r="A61" s="71"/>
      <c r="B61" s="71"/>
      <c r="C61" s="367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</row>
    <row r="62" spans="1:17">
      <c r="A62" s="71"/>
      <c r="B62" s="71"/>
      <c r="C62" s="367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17">
      <c r="A63" s="71"/>
      <c r="B63" s="71"/>
      <c r="C63" s="367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</row>
    <row r="64" spans="1:17">
      <c r="A64" s="71"/>
      <c r="B64" s="71"/>
      <c r="C64" s="367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</row>
    <row r="65" spans="3:3">
      <c r="C65" s="367"/>
    </row>
    <row r="66" spans="3:3">
      <c r="C66" s="367"/>
    </row>
    <row r="67" spans="3:3">
      <c r="C67" s="367"/>
    </row>
    <row r="68" spans="3:3">
      <c r="C68" s="367"/>
    </row>
    <row r="69" spans="3:3">
      <c r="C69" s="367"/>
    </row>
    <row r="70" spans="3:3">
      <c r="C70" s="367"/>
    </row>
    <row r="71" spans="3:3">
      <c r="C71" s="367"/>
    </row>
    <row r="72" spans="3:3">
      <c r="C72" s="367"/>
    </row>
    <row r="73" spans="3:3">
      <c r="C73" s="367"/>
    </row>
    <row r="74" spans="3:3">
      <c r="C74" s="367"/>
    </row>
    <row r="75" spans="3:3">
      <c r="C75" s="367"/>
    </row>
    <row r="76" spans="3:3">
      <c r="C76" s="367"/>
    </row>
    <row r="77" spans="3:3">
      <c r="C77" s="367"/>
    </row>
    <row r="78" spans="3:3">
      <c r="C78" s="367"/>
    </row>
    <row r="79" spans="3:3">
      <c r="C79" s="367"/>
    </row>
    <row r="80" spans="3:3">
      <c r="C80" s="367"/>
    </row>
    <row r="81" spans="3:3">
      <c r="C81" s="367"/>
    </row>
    <row r="82" spans="3:3">
      <c r="C82" s="367"/>
    </row>
    <row r="83" spans="3:3">
      <c r="C83" s="367"/>
    </row>
    <row r="84" spans="3:3">
      <c r="C84" s="367"/>
    </row>
    <row r="85" spans="3:3">
      <c r="C85" s="367"/>
    </row>
    <row r="86" spans="3:3">
      <c r="C86" s="367"/>
    </row>
    <row r="87" spans="3:3">
      <c r="C87" s="367"/>
    </row>
    <row r="88" spans="3:3">
      <c r="C88" s="367"/>
    </row>
    <row r="89" spans="3:3">
      <c r="C89" s="367"/>
    </row>
    <row r="90" spans="3:3">
      <c r="C90" s="367"/>
    </row>
    <row r="91" spans="3:3">
      <c r="C91" s="367"/>
    </row>
    <row r="92" spans="3:3">
      <c r="C92" s="367"/>
    </row>
    <row r="93" spans="3:3">
      <c r="C93" s="367"/>
    </row>
    <row r="94" spans="3:3">
      <c r="C94" s="367"/>
    </row>
    <row r="95" spans="3:3">
      <c r="C95" s="367"/>
    </row>
    <row r="96" spans="3:3">
      <c r="C96" s="367"/>
    </row>
    <row r="97" spans="3:3">
      <c r="C97" s="367"/>
    </row>
    <row r="98" spans="3:3">
      <c r="C98" s="367"/>
    </row>
    <row r="99" spans="3:3">
      <c r="C99" s="367"/>
    </row>
    <row r="100" spans="3:3">
      <c r="C100" s="367"/>
    </row>
    <row r="101" spans="3:3">
      <c r="C101" s="367"/>
    </row>
    <row r="102" spans="3:3">
      <c r="C102" s="367"/>
    </row>
    <row r="103" spans="3:3">
      <c r="C103" s="367"/>
    </row>
    <row r="104" spans="3:3">
      <c r="C104" s="367"/>
    </row>
    <row r="105" spans="3:3">
      <c r="C105" s="367"/>
    </row>
    <row r="106" spans="3:3">
      <c r="C106" s="367"/>
    </row>
    <row r="107" spans="3:3">
      <c r="C107" s="367"/>
    </row>
    <row r="108" spans="3:3">
      <c r="C108" s="367"/>
    </row>
    <row r="109" spans="3:3">
      <c r="C109" s="367"/>
    </row>
    <row r="110" spans="3:3">
      <c r="C110" s="367"/>
    </row>
    <row r="111" spans="3:3">
      <c r="C111" s="367"/>
    </row>
    <row r="112" spans="3:3">
      <c r="C112" s="367"/>
    </row>
    <row r="113" spans="3:3">
      <c r="C113" s="367"/>
    </row>
    <row r="114" spans="3:3">
      <c r="C114" s="367"/>
    </row>
    <row r="115" spans="3:3">
      <c r="C115" s="367"/>
    </row>
    <row r="116" spans="3:3">
      <c r="C116" s="367"/>
    </row>
    <row r="117" spans="3:3">
      <c r="C117" s="367"/>
    </row>
    <row r="118" spans="3:3">
      <c r="C118" s="367"/>
    </row>
    <row r="119" spans="3:3">
      <c r="C119" s="367"/>
    </row>
    <row r="120" spans="3:3">
      <c r="C120" s="367"/>
    </row>
    <row r="121" spans="3:3">
      <c r="C121" s="367"/>
    </row>
    <row r="122" spans="3:3">
      <c r="C122" s="367"/>
    </row>
    <row r="123" spans="3:3">
      <c r="C123" s="367"/>
    </row>
    <row r="124" spans="3:3">
      <c r="C124" s="367"/>
    </row>
    <row r="125" spans="3:3">
      <c r="C125" s="367"/>
    </row>
    <row r="126" spans="3:3">
      <c r="C126" s="367"/>
    </row>
    <row r="127" spans="3:3">
      <c r="C127" s="367"/>
    </row>
    <row r="128" spans="3:3">
      <c r="C128" s="367"/>
    </row>
    <row r="129" spans="3:3">
      <c r="C129" s="367"/>
    </row>
    <row r="130" spans="3:3">
      <c r="C130" s="367"/>
    </row>
    <row r="131" spans="3:3">
      <c r="C131" s="367"/>
    </row>
    <row r="132" spans="3:3">
      <c r="C132" s="367"/>
    </row>
    <row r="133" spans="3:3">
      <c r="C133" s="367"/>
    </row>
    <row r="134" spans="3:3">
      <c r="C134" s="367"/>
    </row>
    <row r="135" spans="3:3">
      <c r="C135" s="367"/>
    </row>
    <row r="136" spans="3:3">
      <c r="C136" s="367"/>
    </row>
    <row r="137" spans="3:3">
      <c r="C137" s="367"/>
    </row>
    <row r="138" spans="3:3">
      <c r="C138" s="367"/>
    </row>
    <row r="139" spans="3:3">
      <c r="C139" s="367"/>
    </row>
    <row r="140" spans="3:3">
      <c r="C140" s="367"/>
    </row>
    <row r="141" spans="3:3">
      <c r="C141" s="367"/>
    </row>
    <row r="142" spans="3:3">
      <c r="C142" s="367"/>
    </row>
    <row r="143" spans="3:3">
      <c r="C143" s="367"/>
    </row>
    <row r="144" spans="3:3">
      <c r="C144" s="367"/>
    </row>
    <row r="145" spans="3:3">
      <c r="C145" s="367"/>
    </row>
    <row r="146" spans="3:3">
      <c r="C146" s="367"/>
    </row>
    <row r="147" spans="3:3">
      <c r="C147" s="367"/>
    </row>
    <row r="148" spans="3:3">
      <c r="C148" s="367"/>
    </row>
    <row r="149" spans="3:3">
      <c r="C149" s="367"/>
    </row>
    <row r="150" spans="3:3">
      <c r="C150" s="367"/>
    </row>
    <row r="151" spans="3:3">
      <c r="C151" s="367"/>
    </row>
    <row r="152" spans="3:3">
      <c r="C152" s="367"/>
    </row>
    <row r="153" spans="3:3">
      <c r="C153" s="367"/>
    </row>
    <row r="154" spans="3:3">
      <c r="C154" s="367"/>
    </row>
    <row r="155" spans="3:3">
      <c r="C155" s="367"/>
    </row>
    <row r="156" spans="3:3">
      <c r="C156" s="367"/>
    </row>
    <row r="157" spans="3:3">
      <c r="C157" s="367"/>
    </row>
    <row r="158" spans="3:3">
      <c r="C158" s="367"/>
    </row>
    <row r="159" spans="3:3">
      <c r="C159" s="367"/>
    </row>
    <row r="160" spans="3:3">
      <c r="C160" s="367"/>
    </row>
    <row r="161" spans="3:3">
      <c r="C161" s="367"/>
    </row>
    <row r="162" spans="3:3">
      <c r="C162" s="367"/>
    </row>
    <row r="163" spans="3:3">
      <c r="C163" s="367"/>
    </row>
    <row r="164" spans="3:3">
      <c r="C164" s="367"/>
    </row>
    <row r="165" spans="3:3">
      <c r="C165" s="367"/>
    </row>
    <row r="166" spans="3:3">
      <c r="C166" s="367"/>
    </row>
    <row r="167" spans="3:3">
      <c r="C167" s="367"/>
    </row>
    <row r="168" spans="3:3">
      <c r="C168" s="367"/>
    </row>
    <row r="169" spans="3:3">
      <c r="C169" s="367"/>
    </row>
    <row r="170" spans="3:3">
      <c r="C170" s="367"/>
    </row>
    <row r="171" spans="3:3">
      <c r="C171" s="367"/>
    </row>
    <row r="172" spans="3:3">
      <c r="C172" s="367"/>
    </row>
    <row r="173" spans="3:3">
      <c r="C173" s="367"/>
    </row>
    <row r="174" spans="3:3">
      <c r="C174" s="367"/>
    </row>
    <row r="175" spans="3:3">
      <c r="C175" s="367"/>
    </row>
    <row r="176" spans="3:3">
      <c r="C176" s="367"/>
    </row>
    <row r="177" spans="3:3">
      <c r="C177" s="367"/>
    </row>
    <row r="178" spans="3:3">
      <c r="C178" s="367"/>
    </row>
    <row r="179" spans="3:3">
      <c r="C179" s="367"/>
    </row>
    <row r="180" spans="3:3">
      <c r="C180" s="367"/>
    </row>
    <row r="181" spans="3:3">
      <c r="C181" s="367"/>
    </row>
    <row r="182" spans="3:3">
      <c r="C182" s="367"/>
    </row>
    <row r="183" spans="3:3">
      <c r="C183" s="367"/>
    </row>
    <row r="184" spans="3:3">
      <c r="C184" s="367"/>
    </row>
    <row r="185" spans="3:3">
      <c r="C185" s="367"/>
    </row>
    <row r="186" spans="3:3">
      <c r="C186" s="367"/>
    </row>
    <row r="187" spans="3:3">
      <c r="C187" s="367"/>
    </row>
    <row r="188" spans="3:3">
      <c r="C188" s="367"/>
    </row>
    <row r="189" spans="3:3">
      <c r="C189" s="367"/>
    </row>
    <row r="190" spans="3:3">
      <c r="C190" s="367"/>
    </row>
    <row r="191" spans="3:3">
      <c r="C191" s="367"/>
    </row>
  </sheetData>
  <hyperlinks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66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theme="7" tint="0.39997558519241921"/>
    <outlinePr summaryBelow="0" summaryRight="0"/>
    <pageSetUpPr fitToPage="1"/>
  </sheetPr>
  <dimension ref="A1:AN74"/>
  <sheetViews>
    <sheetView zoomScaleNormal="100" workbookViewId="0">
      <pane xSplit="4" ySplit="4" topLeftCell="E26" activePane="bottomRight" state="frozen"/>
      <selection activeCell="C18" sqref="C18"/>
      <selection pane="topRight" activeCell="C18" sqref="C18"/>
      <selection pane="bottomLeft" activeCell="C18" sqref="C18"/>
      <selection pane="bottomRight" activeCell="AF32" sqref="AF32"/>
    </sheetView>
  </sheetViews>
  <sheetFormatPr defaultRowHeight="15" outlineLevelRow="1" outlineLevelCol="1"/>
  <cols>
    <col min="1" max="1" width="9" customWidth="1"/>
    <col min="2" max="2" width="36" style="2" customWidth="1"/>
    <col min="3" max="3" width="8.140625" style="4" customWidth="1"/>
    <col min="4" max="4" width="8.42578125" hidden="1" customWidth="1"/>
    <col min="5" max="5" width="2.28515625" customWidth="1"/>
    <col min="6" max="6" width="11.28515625" bestFit="1" customWidth="1"/>
    <col min="7" max="12" width="11.85546875" bestFit="1" customWidth="1"/>
    <col min="13" max="15" width="11.28515625" bestFit="1" customWidth="1"/>
    <col min="16" max="16" width="2.28515625" customWidth="1"/>
    <col min="17" max="17" width="2.85546875" customWidth="1" collapsed="1"/>
    <col min="18" max="27" width="8.85546875" hidden="1" customWidth="1" outlineLevel="1"/>
    <col min="28" max="28" width="1.5703125" customWidth="1"/>
    <col min="30" max="30" width="17.28515625" customWidth="1"/>
  </cols>
  <sheetData>
    <row r="1" spans="1:30" ht="25.5">
      <c r="A1" s="654" t="s">
        <v>337</v>
      </c>
      <c r="B1" s="164"/>
      <c r="C1" s="409"/>
      <c r="D1" s="71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155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>
      <c r="A2" s="71" t="str">
        <f>Паспорт_ФМ_резидент!B7</f>
        <v>Разработка, производство, модернизация и реализация …</v>
      </c>
      <c r="B2" s="164"/>
      <c r="C2" s="409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59"/>
      <c r="Q2" s="156"/>
      <c r="R2" s="159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>
      <c r="A3" s="127" t="s">
        <v>2</v>
      </c>
      <c r="B3" s="127" t="s">
        <v>3</v>
      </c>
      <c r="C3" s="127" t="s">
        <v>12</v>
      </c>
      <c r="D3" s="127"/>
      <c r="E3" s="152"/>
      <c r="F3" s="766"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671"/>
      <c r="Q3" s="157"/>
      <c r="R3" s="160">
        <v>2035</v>
      </c>
      <c r="S3" s="160">
        <f>R3+1</f>
        <v>2036</v>
      </c>
      <c r="T3" s="160">
        <f>S3+1</f>
        <v>2037</v>
      </c>
      <c r="U3" s="160">
        <f t="shared" si="0"/>
        <v>2038</v>
      </c>
      <c r="V3" s="160">
        <f t="shared" si="0"/>
        <v>2039</v>
      </c>
      <c r="W3" s="160">
        <f t="shared" si="0"/>
        <v>2040</v>
      </c>
      <c r="X3" s="160">
        <f t="shared" si="0"/>
        <v>2041</v>
      </c>
      <c r="Y3" s="160">
        <f t="shared" si="0"/>
        <v>2042</v>
      </c>
      <c r="Z3" s="160">
        <f t="shared" si="0"/>
        <v>2043</v>
      </c>
      <c r="AA3" s="160">
        <f t="shared" si="0"/>
        <v>2044</v>
      </c>
      <c r="AB3" s="152"/>
      <c r="AC3" s="152"/>
      <c r="AD3" s="152"/>
    </row>
    <row r="4" spans="1:30" ht="8.1" customHeight="1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6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>
      <c r="A5" s="402" t="s">
        <v>62</v>
      </c>
      <c r="B5" s="405" t="s">
        <v>30</v>
      </c>
      <c r="C5" s="238" t="s">
        <v>19</v>
      </c>
      <c r="D5" s="146"/>
      <c r="E5" s="71"/>
      <c r="F5" s="268">
        <f>SUM(F6:F11)</f>
        <v>0</v>
      </c>
      <c r="G5" s="268">
        <f>SUM(G6:G11)</f>
        <v>0</v>
      </c>
      <c r="H5" s="268">
        <f t="shared" ref="H5:O5" si="2">SUM(H6:H11)</f>
        <v>0</v>
      </c>
      <c r="I5" s="268">
        <f t="shared" si="2"/>
        <v>0</v>
      </c>
      <c r="J5" s="268">
        <f t="shared" si="2"/>
        <v>0</v>
      </c>
      <c r="K5" s="268">
        <f t="shared" si="2"/>
        <v>0</v>
      </c>
      <c r="L5" s="268">
        <f t="shared" si="2"/>
        <v>0</v>
      </c>
      <c r="M5" s="268">
        <f t="shared" si="2"/>
        <v>0</v>
      </c>
      <c r="N5" s="268">
        <f t="shared" si="2"/>
        <v>0</v>
      </c>
      <c r="O5" s="268">
        <f t="shared" si="2"/>
        <v>0</v>
      </c>
      <c r="P5" s="679"/>
      <c r="Q5" s="156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71"/>
      <c r="AC5" s="71"/>
      <c r="AD5" s="71"/>
    </row>
    <row r="6" spans="1:30" outlineLevel="1">
      <c r="A6" s="146"/>
      <c r="B6" s="406" t="s">
        <v>31</v>
      </c>
      <c r="C6" s="238" t="s">
        <v>19</v>
      </c>
      <c r="D6" s="146"/>
      <c r="E6" s="71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161"/>
      <c r="Q6" s="156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outlineLevel="1">
      <c r="A7" s="221" t="str">
        <f t="array" aca="1" ref="A7" ca="1">HYPERLINK(CELL("адрес",Инвестиции!A11),"источник")</f>
        <v>источник</v>
      </c>
      <c r="B7" s="406" t="s">
        <v>32</v>
      </c>
      <c r="C7" s="238" t="s">
        <v>19</v>
      </c>
      <c r="D7" s="146"/>
      <c r="E7" s="71"/>
      <c r="F7" s="399">
        <f>Инвестиции!F11</f>
        <v>0</v>
      </c>
      <c r="G7" s="399">
        <f>Инвестиции!G11</f>
        <v>0</v>
      </c>
      <c r="H7" s="399">
        <f>Инвестиции!H11</f>
        <v>0</v>
      </c>
      <c r="I7" s="399">
        <f>Инвестиции!I11</f>
        <v>0</v>
      </c>
      <c r="J7" s="399">
        <f>Инвестиции!J11</f>
        <v>0</v>
      </c>
      <c r="K7" s="399">
        <f>Инвестиции!K11</f>
        <v>0</v>
      </c>
      <c r="L7" s="399">
        <f>Инвестиции!L11</f>
        <v>0</v>
      </c>
      <c r="M7" s="399">
        <f>Инвестиции!M11</f>
        <v>0</v>
      </c>
      <c r="N7" s="399">
        <f>Инвестиции!N11</f>
        <v>0</v>
      </c>
      <c r="O7" s="399">
        <f>Инвестиции!O11</f>
        <v>0</v>
      </c>
      <c r="P7" s="161"/>
      <c r="Q7" s="156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outlineLevel="1">
      <c r="A8" s="146"/>
      <c r="B8" s="406" t="s">
        <v>33</v>
      </c>
      <c r="C8" s="238" t="s">
        <v>19</v>
      </c>
      <c r="D8" s="146"/>
      <c r="E8" s="71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161"/>
      <c r="Q8" s="156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outlineLevel="1">
      <c r="A9" s="146"/>
      <c r="B9" s="406" t="s">
        <v>34</v>
      </c>
      <c r="C9" s="238" t="s">
        <v>19</v>
      </c>
      <c r="D9" s="146"/>
      <c r="E9" s="71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161"/>
      <c r="Q9" s="156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outlineLevel="1">
      <c r="A10" s="146"/>
      <c r="B10" s="406" t="s">
        <v>35</v>
      </c>
      <c r="C10" s="238" t="s">
        <v>19</v>
      </c>
      <c r="D10" s="146"/>
      <c r="E10" s="71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161"/>
      <c r="Q10" s="156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outlineLevel="1">
      <c r="A11" s="146"/>
      <c r="B11" s="406" t="s">
        <v>36</v>
      </c>
      <c r="C11" s="238" t="s">
        <v>19</v>
      </c>
      <c r="D11" s="146"/>
      <c r="E11" s="71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161"/>
      <c r="Q11" s="156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>
      <c r="A12" s="402" t="s">
        <v>63</v>
      </c>
      <c r="B12" s="405" t="s">
        <v>37</v>
      </c>
      <c r="C12" s="238" t="s">
        <v>19</v>
      </c>
      <c r="D12" s="146"/>
      <c r="E12" s="71"/>
      <c r="F12" s="268">
        <f ca="1">SUM(F13:F20)</f>
        <v>3583.627999999997</v>
      </c>
      <c r="G12" s="268">
        <f t="shared" ref="G12:O12" ca="1" si="3">SUM(G13:G20)</f>
        <v>-255.14083200000459</v>
      </c>
      <c r="H12" s="268">
        <f t="shared" ca="1" si="3"/>
        <v>-391.69991859199945</v>
      </c>
      <c r="I12" s="268">
        <f t="shared" ca="1" si="3"/>
        <v>4420.547317966877</v>
      </c>
      <c r="J12" s="268">
        <f t="shared" ca="1" si="3"/>
        <v>11582.063946653012</v>
      </c>
      <c r="K12" s="268">
        <f t="shared" ca="1" si="3"/>
        <v>28157.405264932779</v>
      </c>
      <c r="L12" s="268">
        <f t="shared" ca="1" si="3"/>
        <v>34074.256645758898</v>
      </c>
      <c r="M12" s="268">
        <f t="shared" ca="1" si="3"/>
        <v>39254.674290582887</v>
      </c>
      <c r="N12" s="268">
        <f t="shared" ca="1" si="3"/>
        <v>43614.706813655474</v>
      </c>
      <c r="O12" s="268">
        <f t="shared" ca="1" si="3"/>
        <v>47063.993107764167</v>
      </c>
      <c r="P12" s="679"/>
      <c r="Q12" s="156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outlineLevel="1">
      <c r="A13" s="146"/>
      <c r="B13" s="406" t="s">
        <v>38</v>
      </c>
      <c r="C13" s="238" t="s">
        <v>19</v>
      </c>
      <c r="D13" s="146"/>
      <c r="E13" s="71"/>
      <c r="F13" s="834"/>
      <c r="G13" s="834"/>
      <c r="H13" s="834"/>
      <c r="I13" s="834"/>
      <c r="J13" s="834"/>
      <c r="K13" s="834"/>
      <c r="L13" s="834"/>
      <c r="M13" s="834"/>
      <c r="N13" s="834"/>
      <c r="O13" s="834"/>
      <c r="P13" s="161"/>
      <c r="Q13" s="156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outlineLevel="1">
      <c r="A14" s="146"/>
      <c r="B14" s="406" t="s">
        <v>39</v>
      </c>
      <c r="C14" s="238" t="s">
        <v>19</v>
      </c>
      <c r="D14" s="146"/>
      <c r="E14" s="71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161"/>
      <c r="Q14" s="156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outlineLevel="1">
      <c r="A15" s="146"/>
      <c r="B15" s="406" t="s">
        <v>225</v>
      </c>
      <c r="C15" s="238" t="s">
        <v>19</v>
      </c>
      <c r="D15" s="146"/>
      <c r="E15" s="71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161"/>
      <c r="Q15" s="156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outlineLevel="1">
      <c r="A16" s="146"/>
      <c r="B16" s="406" t="s">
        <v>40</v>
      </c>
      <c r="C16" s="238" t="s">
        <v>19</v>
      </c>
      <c r="D16" s="146"/>
      <c r="E16" s="71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161"/>
      <c r="Q16" s="156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outlineLevel="1">
      <c r="A17" s="146"/>
      <c r="B17" s="406" t="s">
        <v>41</v>
      </c>
      <c r="C17" s="238" t="s">
        <v>19</v>
      </c>
      <c r="D17" s="146"/>
      <c r="E17" s="71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161"/>
      <c r="Q17" s="156"/>
    </row>
    <row r="18" spans="1:17" ht="30" outlineLevel="1">
      <c r="A18" s="146"/>
      <c r="B18" s="406" t="s">
        <v>42</v>
      </c>
      <c r="C18" s="238" t="s">
        <v>19</v>
      </c>
      <c r="D18" s="146"/>
      <c r="E18" s="71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161"/>
      <c r="Q18" s="156"/>
    </row>
    <row r="19" spans="1:17" outlineLevel="1">
      <c r="A19" s="221" t="str">
        <f t="array" aca="1" ref="A19" ca="1">HYPERLINK(CELL("адрес",БДДСбезЛьгот!A58),"источник")</f>
        <v>источник</v>
      </c>
      <c r="B19" s="406" t="s">
        <v>43</v>
      </c>
      <c r="C19" s="238" t="s">
        <v>19</v>
      </c>
      <c r="D19" s="146"/>
      <c r="E19" s="71"/>
      <c r="F19" s="399">
        <f ca="1">БДДСбезЛьгот!F58</f>
        <v>3583.627999999997</v>
      </c>
      <c r="G19" s="399">
        <f ca="1">БДДСбезЛьгот!G58</f>
        <v>-255.14083200000459</v>
      </c>
      <c r="H19" s="399">
        <f ca="1">БДДСбезЛьгот!H58</f>
        <v>-391.69991859199945</v>
      </c>
      <c r="I19" s="399">
        <f ca="1">БДДСбезЛьгот!I58</f>
        <v>4420.547317966877</v>
      </c>
      <c r="J19" s="399">
        <f ca="1">БДДСбезЛьгот!J58</f>
        <v>11582.063946653012</v>
      </c>
      <c r="K19" s="399">
        <f ca="1">БДДСбезЛьгот!K58</f>
        <v>28157.405264932779</v>
      </c>
      <c r="L19" s="399">
        <f ca="1">БДДСбезЛьгот!L58</f>
        <v>34074.256645758898</v>
      </c>
      <c r="M19" s="399">
        <f ca="1">БДДСбезЛьгот!M58</f>
        <v>39254.674290582887</v>
      </c>
      <c r="N19" s="399">
        <f ca="1">БДДСбезЛьгот!N58</f>
        <v>43614.706813655474</v>
      </c>
      <c r="O19" s="399">
        <f ca="1">БДДСбезЛьгот!O58</f>
        <v>47063.993107764167</v>
      </c>
      <c r="P19" s="161"/>
      <c r="Q19" s="156"/>
    </row>
    <row r="20" spans="1:17" outlineLevel="1">
      <c r="A20" s="146"/>
      <c r="B20" s="406" t="s">
        <v>44</v>
      </c>
      <c r="C20" s="238" t="s">
        <v>19</v>
      </c>
      <c r="D20" s="146"/>
      <c r="E20" s="71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161"/>
      <c r="Q20" s="156"/>
    </row>
    <row r="21" spans="1:17" ht="15.75" thickBot="1">
      <c r="A21" s="403"/>
      <c r="B21" s="403" t="s">
        <v>45</v>
      </c>
      <c r="C21" s="238" t="s">
        <v>19</v>
      </c>
      <c r="D21" s="146"/>
      <c r="E21" s="71"/>
      <c r="F21" s="400">
        <f t="shared" ref="F21:O21" ca="1" si="4">SUM(F12,F5)</f>
        <v>3583.627999999997</v>
      </c>
      <c r="G21" s="400">
        <f t="shared" ca="1" si="4"/>
        <v>-255.14083200000459</v>
      </c>
      <c r="H21" s="400">
        <f t="shared" ca="1" si="4"/>
        <v>-391.69991859199945</v>
      </c>
      <c r="I21" s="400">
        <f t="shared" ca="1" si="4"/>
        <v>4420.547317966877</v>
      </c>
      <c r="J21" s="400">
        <f t="shared" ca="1" si="4"/>
        <v>11582.063946653012</v>
      </c>
      <c r="K21" s="400">
        <f t="shared" ca="1" si="4"/>
        <v>28157.405264932779</v>
      </c>
      <c r="L21" s="400">
        <f t="shared" ca="1" si="4"/>
        <v>34074.256645758898</v>
      </c>
      <c r="M21" s="400">
        <f t="shared" ca="1" si="4"/>
        <v>39254.674290582887</v>
      </c>
      <c r="N21" s="400">
        <f t="shared" ca="1" si="4"/>
        <v>43614.706813655474</v>
      </c>
      <c r="O21" s="400">
        <f t="shared" ca="1" si="4"/>
        <v>47063.993107764167</v>
      </c>
      <c r="P21" s="679"/>
      <c r="Q21" s="156"/>
    </row>
    <row r="22" spans="1:17">
      <c r="A22" s="146"/>
      <c r="B22" s="407"/>
      <c r="C22" s="410"/>
      <c r="D22" s="146"/>
      <c r="E22" s="7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161"/>
      <c r="Q22" s="156"/>
    </row>
    <row r="23" spans="1:17">
      <c r="A23" s="402" t="s">
        <v>64</v>
      </c>
      <c r="B23" s="405" t="s">
        <v>46</v>
      </c>
      <c r="C23" s="238" t="s">
        <v>19</v>
      </c>
      <c r="D23" s="146"/>
      <c r="E23" s="71"/>
      <c r="F23" s="268">
        <f ca="1">SUM(F24:F25)</f>
        <v>3583.6280000000006</v>
      </c>
      <c r="G23" s="268">
        <f ca="1">SUM(G24:G25)</f>
        <v>-255.14083200000096</v>
      </c>
      <c r="H23" s="268">
        <f t="shared" ref="H23:O23" ca="1" si="5">SUM(H24:H25)</f>
        <v>-391.69991859198853</v>
      </c>
      <c r="I23" s="268">
        <f t="shared" ca="1" si="5"/>
        <v>4420.5473179668979</v>
      </c>
      <c r="J23" s="268">
        <f t="shared" ca="1" si="5"/>
        <v>11582.063946653067</v>
      </c>
      <c r="K23" s="268">
        <f t="shared" ca="1" si="5"/>
        <v>28157.405264932848</v>
      </c>
      <c r="L23" s="268">
        <f t="shared" ca="1" si="5"/>
        <v>34074.256645758971</v>
      </c>
      <c r="M23" s="268">
        <f t="shared" ca="1" si="5"/>
        <v>39254.674290582945</v>
      </c>
      <c r="N23" s="268">
        <f t="shared" ca="1" si="5"/>
        <v>43614.706813655517</v>
      </c>
      <c r="O23" s="268">
        <f t="shared" ca="1" si="5"/>
        <v>47063.993107764167</v>
      </c>
      <c r="P23" s="679"/>
      <c r="Q23" s="156"/>
    </row>
    <row r="24" spans="1:17" outlineLevel="1">
      <c r="A24" s="221" t="str">
        <f t="array" aca="1" ref="A24" ca="1">HYPERLINK(CELL("адрес",Финансы!A12),"источник")</f>
        <v>источник</v>
      </c>
      <c r="B24" s="406" t="s">
        <v>226</v>
      </c>
      <c r="C24" s="238" t="s">
        <v>19</v>
      </c>
      <c r="D24" s="146"/>
      <c r="E24" s="71"/>
      <c r="F24" s="399">
        <f>Финансы!F12</f>
        <v>10000</v>
      </c>
      <c r="G24" s="399">
        <f>Финансы!G12</f>
        <v>10000</v>
      </c>
      <c r="H24" s="399">
        <f>Финансы!H12</f>
        <v>10000</v>
      </c>
      <c r="I24" s="399">
        <f>Финансы!I12</f>
        <v>10000</v>
      </c>
      <c r="J24" s="399">
        <f>Финансы!J12</f>
        <v>10000</v>
      </c>
      <c r="K24" s="399">
        <f>Финансы!K12</f>
        <v>20000</v>
      </c>
      <c r="L24" s="399">
        <f>Финансы!L12</f>
        <v>20000</v>
      </c>
      <c r="M24" s="399">
        <f>Финансы!M12</f>
        <v>20000</v>
      </c>
      <c r="N24" s="399">
        <f>Финансы!N12</f>
        <v>20000</v>
      </c>
      <c r="O24" s="399">
        <f>Финансы!O12</f>
        <v>20000</v>
      </c>
      <c r="P24" s="161"/>
      <c r="Q24" s="156"/>
    </row>
    <row r="25" spans="1:17" outlineLevel="1">
      <c r="A25" s="221" t="str">
        <f t="array" aca="1" ref="A25" ca="1">HYPERLINK(CELL("адрес",БДРбезЛьгот!A36),"источник")</f>
        <v>источник</v>
      </c>
      <c r="B25" s="406" t="s">
        <v>47</v>
      </c>
      <c r="C25" s="238" t="s">
        <v>19</v>
      </c>
      <c r="D25" s="146"/>
      <c r="E25" s="71"/>
      <c r="F25" s="399">
        <f ca="1">БДРбезЛьгот!F36</f>
        <v>-6416.3719999999994</v>
      </c>
      <c r="G25" s="399">
        <f ca="1">БДРбезЛьгот!G36</f>
        <v>-10255.140832000001</v>
      </c>
      <c r="H25" s="399">
        <f ca="1">БДРбезЛьгот!H36</f>
        <v>-10391.699918591989</v>
      </c>
      <c r="I25" s="399">
        <f ca="1">БДРбезЛьгот!I36</f>
        <v>-5579.4526820331021</v>
      </c>
      <c r="J25" s="399">
        <f ca="1">БДРбезЛьгот!J36</f>
        <v>1582.0639466530674</v>
      </c>
      <c r="K25" s="399">
        <f ca="1">БДРбезЛьгот!K36</f>
        <v>8157.4052649328469</v>
      </c>
      <c r="L25" s="399">
        <f ca="1">БДРбезЛьгот!L36</f>
        <v>14074.256645758975</v>
      </c>
      <c r="M25" s="399">
        <f ca="1">БДРбезЛьгот!M36</f>
        <v>19254.674290582945</v>
      </c>
      <c r="N25" s="399">
        <f ca="1">БДРбезЛьгот!N36</f>
        <v>23614.706813655517</v>
      </c>
      <c r="O25" s="399">
        <f ca="1">БДРбезЛьгот!O36</f>
        <v>27063.99310776417</v>
      </c>
      <c r="P25" s="161"/>
      <c r="Q25" s="156"/>
    </row>
    <row r="26" spans="1:17">
      <c r="A26" s="402" t="s">
        <v>65</v>
      </c>
      <c r="B26" s="405" t="s">
        <v>48</v>
      </c>
      <c r="C26" s="238" t="s">
        <v>19</v>
      </c>
      <c r="D26" s="146"/>
      <c r="E26" s="71"/>
      <c r="F26" s="268">
        <f ca="1">SUM(F27:F30)</f>
        <v>0</v>
      </c>
      <c r="G26" s="268">
        <f ca="1">SUM(G27:G30)</f>
        <v>0</v>
      </c>
      <c r="H26" s="268">
        <f t="shared" ref="H26:O26" ca="1" si="6">SUM(H27:H30)</f>
        <v>0</v>
      </c>
      <c r="I26" s="268">
        <f t="shared" ca="1" si="6"/>
        <v>0</v>
      </c>
      <c r="J26" s="268">
        <f t="shared" ca="1" si="6"/>
        <v>0</v>
      </c>
      <c r="K26" s="268">
        <f t="shared" ca="1" si="6"/>
        <v>0</v>
      </c>
      <c r="L26" s="268">
        <f t="shared" ca="1" si="6"/>
        <v>0</v>
      </c>
      <c r="M26" s="268">
        <f t="shared" ca="1" si="6"/>
        <v>0</v>
      </c>
      <c r="N26" s="268">
        <f t="shared" ca="1" si="6"/>
        <v>0</v>
      </c>
      <c r="O26" s="268">
        <f t="shared" ca="1" si="6"/>
        <v>0</v>
      </c>
      <c r="P26" s="679"/>
      <c r="Q26" s="156"/>
    </row>
    <row r="27" spans="1:17" outlineLevel="1">
      <c r="A27" s="221" t="str">
        <f t="array" aca="1" ref="A27" ca="1">HYPERLINK(CELL("адрес",Финансы!A24),"источник")</f>
        <v>источник</v>
      </c>
      <c r="B27" s="406" t="s">
        <v>49</v>
      </c>
      <c r="C27" s="238" t="s">
        <v>19</v>
      </c>
      <c r="D27" s="146"/>
      <c r="E27" s="71"/>
      <c r="F27" s="399">
        <f ca="1">Финансы!F24</f>
        <v>0</v>
      </c>
      <c r="G27" s="399">
        <f ca="1">Финансы!G24</f>
        <v>0</v>
      </c>
      <c r="H27" s="399">
        <f ca="1">Финансы!H24</f>
        <v>0</v>
      </c>
      <c r="I27" s="399">
        <f ca="1">Финансы!I24</f>
        <v>0</v>
      </c>
      <c r="J27" s="399">
        <f ca="1">Финансы!J24</f>
        <v>0</v>
      </c>
      <c r="K27" s="399">
        <f ca="1">Финансы!K24</f>
        <v>0</v>
      </c>
      <c r="L27" s="399">
        <f ca="1">Финансы!L24</f>
        <v>0</v>
      </c>
      <c r="M27" s="399">
        <f ca="1">Финансы!M24</f>
        <v>0</v>
      </c>
      <c r="N27" s="399">
        <f ca="1">Финансы!N24</f>
        <v>0</v>
      </c>
      <c r="O27" s="399">
        <f ca="1">Финансы!O24</f>
        <v>0</v>
      </c>
      <c r="P27" s="161"/>
      <c r="Q27" s="156"/>
    </row>
    <row r="28" spans="1:17" outlineLevel="1">
      <c r="A28" s="221"/>
      <c r="B28" s="406" t="s">
        <v>54</v>
      </c>
      <c r="C28" s="238" t="s">
        <v>19</v>
      </c>
      <c r="D28" s="146"/>
      <c r="E28" s="71"/>
      <c r="F28" s="399"/>
      <c r="G28" s="399"/>
      <c r="H28" s="399"/>
      <c r="I28" s="399"/>
      <c r="J28" s="399"/>
      <c r="K28" s="399"/>
      <c r="L28" s="399"/>
      <c r="M28" s="399"/>
      <c r="N28" s="399"/>
      <c r="O28" s="399"/>
      <c r="P28" s="161"/>
      <c r="Q28" s="156"/>
    </row>
    <row r="29" spans="1:17" ht="30" outlineLevel="1">
      <c r="A29" s="146"/>
      <c r="B29" s="406" t="s">
        <v>50</v>
      </c>
      <c r="C29" s="238" t="s">
        <v>19</v>
      </c>
      <c r="D29" s="146"/>
      <c r="E29" s="71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161"/>
      <c r="Q29" s="156"/>
    </row>
    <row r="30" spans="1:17" outlineLevel="1">
      <c r="A30" s="146"/>
      <c r="B30" s="406" t="s">
        <v>51</v>
      </c>
      <c r="C30" s="238" t="s">
        <v>19</v>
      </c>
      <c r="D30" s="146"/>
      <c r="E30" s="71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161"/>
      <c r="Q30" s="156"/>
    </row>
    <row r="31" spans="1:17">
      <c r="A31" s="402" t="s">
        <v>66</v>
      </c>
      <c r="B31" s="405" t="s">
        <v>52</v>
      </c>
      <c r="C31" s="238" t="s">
        <v>19</v>
      </c>
      <c r="D31" s="146"/>
      <c r="E31" s="71"/>
      <c r="F31" s="268">
        <f>SUM(F32:F39)</f>
        <v>0</v>
      </c>
      <c r="G31" s="268">
        <f>SUM(G32:G39)</f>
        <v>0</v>
      </c>
      <c r="H31" s="268">
        <f t="shared" ref="H31:O31" si="7">SUM(H32:H39)</f>
        <v>0</v>
      </c>
      <c r="I31" s="268">
        <f t="shared" si="7"/>
        <v>0</v>
      </c>
      <c r="J31" s="268">
        <f t="shared" si="7"/>
        <v>0</v>
      </c>
      <c r="K31" s="268">
        <f t="shared" si="7"/>
        <v>0</v>
      </c>
      <c r="L31" s="268">
        <f t="shared" si="7"/>
        <v>0</v>
      </c>
      <c r="M31" s="268">
        <f t="shared" si="7"/>
        <v>0</v>
      </c>
      <c r="N31" s="268">
        <f t="shared" si="7"/>
        <v>0</v>
      </c>
      <c r="O31" s="268">
        <f t="shared" si="7"/>
        <v>0</v>
      </c>
      <c r="P31" s="679"/>
      <c r="Q31" s="156"/>
    </row>
    <row r="32" spans="1:17" outlineLevel="1">
      <c r="A32" s="146"/>
      <c r="B32" s="406" t="s">
        <v>53</v>
      </c>
      <c r="C32" s="238" t="s">
        <v>19</v>
      </c>
      <c r="D32" s="146"/>
      <c r="E32" s="71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161"/>
      <c r="Q32" s="156"/>
    </row>
    <row r="33" spans="1:40" outlineLevel="1">
      <c r="A33" s="146"/>
      <c r="B33" s="406" t="s">
        <v>54</v>
      </c>
      <c r="C33" s="238" t="s">
        <v>19</v>
      </c>
      <c r="D33" s="146"/>
      <c r="E33" s="71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161"/>
      <c r="Q33" s="156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40" ht="30" outlineLevel="1">
      <c r="A34" s="146"/>
      <c r="B34" s="406" t="s">
        <v>55</v>
      </c>
      <c r="C34" s="238" t="s">
        <v>19</v>
      </c>
      <c r="D34" s="146"/>
      <c r="E34" s="71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161"/>
      <c r="Q34" s="156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40" ht="30" outlineLevel="1">
      <c r="A35" s="146"/>
      <c r="B35" s="406" t="s">
        <v>56</v>
      </c>
      <c r="C35" s="238" t="s">
        <v>19</v>
      </c>
      <c r="D35" s="146"/>
      <c r="E35" s="71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161"/>
      <c r="Q35" s="156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40" ht="30" outlineLevel="1">
      <c r="A36" s="146"/>
      <c r="B36" s="406" t="s">
        <v>57</v>
      </c>
      <c r="C36" s="238" t="s">
        <v>19</v>
      </c>
      <c r="D36" s="146"/>
      <c r="E36" s="71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161"/>
      <c r="Q36" s="156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40" outlineLevel="1">
      <c r="A37" s="146"/>
      <c r="B37" s="406" t="s">
        <v>58</v>
      </c>
      <c r="C37" s="238" t="s">
        <v>19</v>
      </c>
      <c r="D37" s="146"/>
      <c r="E37" s="71"/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161"/>
      <c r="Q37" s="156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40" outlineLevel="1">
      <c r="A38" s="146"/>
      <c r="B38" s="406" t="s">
        <v>86</v>
      </c>
      <c r="C38" s="238" t="s">
        <v>19</v>
      </c>
      <c r="D38" s="146"/>
      <c r="E38" s="71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161"/>
      <c r="Q38" s="156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40" ht="30" outlineLevel="1">
      <c r="A39" s="146"/>
      <c r="B39" s="406" t="s">
        <v>59</v>
      </c>
      <c r="C39" s="238" t="s">
        <v>19</v>
      </c>
      <c r="D39" s="146"/>
      <c r="E39" s="71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161"/>
      <c r="Q39" s="156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40" ht="29.25" thickBot="1">
      <c r="A40" s="403"/>
      <c r="B40" s="403" t="s">
        <v>60</v>
      </c>
      <c r="C40" s="238" t="s">
        <v>19</v>
      </c>
      <c r="D40" s="146"/>
      <c r="E40" s="71"/>
      <c r="F40" s="400">
        <f ca="1">SUM(F23,F26,F31)</f>
        <v>3583.6280000000006</v>
      </c>
      <c r="G40" s="400">
        <f ca="1">SUM(G23,G26,G31)</f>
        <v>-255.14083200000096</v>
      </c>
      <c r="H40" s="400">
        <f t="shared" ref="H40:O40" ca="1" si="8">SUM(H23,H26,H31)</f>
        <v>-391.69991859198853</v>
      </c>
      <c r="I40" s="400">
        <f t="shared" ca="1" si="8"/>
        <v>4420.5473179668979</v>
      </c>
      <c r="J40" s="400">
        <f t="shared" ca="1" si="8"/>
        <v>11582.063946653067</v>
      </c>
      <c r="K40" s="400">
        <f t="shared" ca="1" si="8"/>
        <v>28157.405264932848</v>
      </c>
      <c r="L40" s="400">
        <f t="shared" ca="1" si="8"/>
        <v>34074.256645758971</v>
      </c>
      <c r="M40" s="400">
        <f t="shared" ca="1" si="8"/>
        <v>39254.674290582945</v>
      </c>
      <c r="N40" s="400">
        <f t="shared" ca="1" si="8"/>
        <v>43614.706813655517</v>
      </c>
      <c r="O40" s="400">
        <f t="shared" ca="1" si="8"/>
        <v>47063.993107764167</v>
      </c>
      <c r="P40" s="679"/>
      <c r="Q40" s="156"/>
      <c r="R40" s="71"/>
      <c r="S40" s="71"/>
      <c r="T40" s="71"/>
      <c r="U40" s="71"/>
      <c r="V40" s="71"/>
      <c r="W40" s="71"/>
      <c r="X40" s="71"/>
      <c r="Y40" s="71"/>
      <c r="Z40" s="71"/>
      <c r="AA40" s="71"/>
      <c r="AD40" s="834"/>
      <c r="AE40" s="834"/>
      <c r="AF40" s="834"/>
      <c r="AG40" s="834"/>
      <c r="AH40" s="834"/>
      <c r="AI40" s="834"/>
      <c r="AJ40" s="834"/>
      <c r="AK40" s="834"/>
      <c r="AL40" s="834"/>
      <c r="AM40" s="834"/>
      <c r="AN40" s="834"/>
    </row>
    <row r="41" spans="1:40">
      <c r="A41" s="146"/>
      <c r="B41" s="175"/>
      <c r="C41" s="411"/>
      <c r="D41" s="146"/>
      <c r="E41" s="71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40" s="1" customFormat="1">
      <c r="A42" s="404"/>
      <c r="B42" s="408" t="s">
        <v>61</v>
      </c>
      <c r="C42" s="265"/>
      <c r="D42" s="404"/>
      <c r="E42" s="398"/>
      <c r="F42" s="828">
        <f ca="1">F21-F40</f>
        <v>-3.637978807091713E-12</v>
      </c>
      <c r="G42" s="828">
        <f t="shared" ref="G42:O42" ca="1" si="9">G21-G40</f>
        <v>-3.637978807091713E-12</v>
      </c>
      <c r="H42" s="828">
        <f t="shared" ca="1" si="9"/>
        <v>-1.0913936421275139E-11</v>
      </c>
      <c r="I42" s="828">
        <f t="shared" ca="1" si="9"/>
        <v>-2.0918378140777349E-11</v>
      </c>
      <c r="J42" s="828">
        <f t="shared" ca="1" si="9"/>
        <v>-5.4569682106375694E-11</v>
      </c>
      <c r="K42" s="828">
        <f t="shared" ca="1" si="9"/>
        <v>-6.9121597334742546E-11</v>
      </c>
      <c r="L42" s="828">
        <f t="shared" ca="1" si="9"/>
        <v>-7.2759576141834259E-11</v>
      </c>
      <c r="M42" s="828">
        <f t="shared" ca="1" si="9"/>
        <v>-5.8207660913467407E-11</v>
      </c>
      <c r="N42" s="828">
        <f t="shared" ca="1" si="9"/>
        <v>0</v>
      </c>
      <c r="O42" s="828">
        <f t="shared" ca="1" si="9"/>
        <v>0</v>
      </c>
      <c r="P42" s="680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40">
      <c r="A43" s="146"/>
      <c r="B43" s="173"/>
      <c r="C43" s="265"/>
      <c r="D43" s="146"/>
      <c r="E43" s="71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40">
      <c r="A44" s="146"/>
      <c r="B44" s="173"/>
      <c r="C44" s="265"/>
      <c r="D44" s="146"/>
      <c r="E44" s="71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40">
      <c r="A45" s="146"/>
      <c r="B45" s="173"/>
      <c r="C45" s="265"/>
      <c r="D45" s="146"/>
      <c r="E45" s="71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40">
      <c r="A46" s="146"/>
      <c r="B46" s="173"/>
      <c r="C46" s="265"/>
      <c r="D46" s="146"/>
      <c r="E46" s="71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40">
      <c r="A47" s="146"/>
      <c r="B47" s="173"/>
      <c r="C47" s="265"/>
      <c r="D47" s="146"/>
      <c r="E47" s="71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40">
      <c r="A48" s="146"/>
      <c r="B48" s="173"/>
      <c r="C48" s="265"/>
      <c r="D48" s="146"/>
      <c r="E48" s="71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16">
      <c r="A49" s="146"/>
      <c r="B49" s="173"/>
      <c r="C49" s="265"/>
      <c r="D49" s="146"/>
      <c r="E49" s="71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71"/>
    </row>
    <row r="50" spans="1:16">
      <c r="A50" s="146"/>
      <c r="B50" s="173"/>
      <c r="C50" s="265"/>
      <c r="D50" s="146"/>
      <c r="E50" s="71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71"/>
    </row>
    <row r="51" spans="1:16">
      <c r="A51" s="146"/>
      <c r="B51" s="173"/>
      <c r="C51" s="265"/>
      <c r="D51" s="146"/>
      <c r="E51" s="71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71"/>
    </row>
    <row r="52" spans="1:16">
      <c r="A52" s="146"/>
      <c r="B52" s="173"/>
      <c r="C52" s="265"/>
      <c r="D52" s="146"/>
      <c r="E52" s="71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71"/>
    </row>
    <row r="53" spans="1:16">
      <c r="A53" s="146"/>
      <c r="B53" s="173"/>
      <c r="C53" s="265"/>
      <c r="D53" s="146"/>
      <c r="E53" s="71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71"/>
    </row>
    <row r="54" spans="1:16">
      <c r="A54" s="146"/>
      <c r="B54" s="173"/>
      <c r="C54" s="265"/>
      <c r="D54" s="146"/>
      <c r="E54" s="71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71"/>
    </row>
    <row r="55" spans="1:16">
      <c r="A55" s="146"/>
      <c r="B55" s="173"/>
      <c r="C55" s="265"/>
      <c r="D55" s="146"/>
      <c r="E55" s="71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71"/>
    </row>
    <row r="56" spans="1:16">
      <c r="A56" s="146"/>
      <c r="B56" s="173"/>
      <c r="C56" s="265"/>
      <c r="D56" s="146"/>
      <c r="E56" s="71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71"/>
    </row>
    <row r="57" spans="1:16">
      <c r="A57" s="146"/>
      <c r="B57" s="173"/>
      <c r="C57" s="265"/>
      <c r="D57" s="146"/>
      <c r="E57" s="71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71"/>
    </row>
    <row r="58" spans="1:16">
      <c r="A58" s="146"/>
      <c r="B58" s="173"/>
      <c r="C58" s="265"/>
      <c r="D58" s="146"/>
      <c r="E58" s="71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71"/>
    </row>
    <row r="59" spans="1:16">
      <c r="A59" s="146"/>
      <c r="B59" s="173"/>
      <c r="C59" s="265"/>
      <c r="D59" s="146"/>
      <c r="E59" s="71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71"/>
    </row>
    <row r="60" spans="1:16">
      <c r="A60" s="146"/>
      <c r="B60" s="173"/>
      <c r="C60" s="265"/>
      <c r="D60" s="146"/>
      <c r="E60" s="71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71"/>
    </row>
    <row r="61" spans="1:16">
      <c r="A61" s="146"/>
      <c r="B61" s="173"/>
      <c r="C61" s="265"/>
      <c r="D61" s="146"/>
      <c r="E61" s="71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71"/>
    </row>
    <row r="62" spans="1:16">
      <c r="A62" s="146"/>
      <c r="B62" s="173"/>
      <c r="C62" s="265"/>
      <c r="D62" s="146"/>
      <c r="E62" s="71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71"/>
    </row>
    <row r="63" spans="1:16">
      <c r="A63" s="146"/>
      <c r="B63" s="173"/>
      <c r="C63" s="265"/>
      <c r="D63" s="146"/>
      <c r="E63" s="71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71"/>
    </row>
    <row r="64" spans="1:16">
      <c r="A64" s="146"/>
      <c r="B64" s="173"/>
      <c r="C64" s="265"/>
      <c r="D64" s="146"/>
      <c r="E64" s="7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71"/>
    </row>
    <row r="65" spans="1:16">
      <c r="A65" s="146"/>
      <c r="B65" s="173"/>
      <c r="C65" s="265"/>
      <c r="D65" s="146"/>
      <c r="E65" s="71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71"/>
    </row>
    <row r="66" spans="1:16">
      <c r="A66" s="146"/>
      <c r="B66" s="173"/>
      <c r="C66" s="265"/>
      <c r="D66" s="146"/>
      <c r="E66" s="71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71"/>
    </row>
    <row r="67" spans="1:16">
      <c r="A67" s="146"/>
      <c r="B67" s="173"/>
      <c r="C67" s="265"/>
      <c r="D67" s="146"/>
      <c r="E67" s="71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71"/>
    </row>
    <row r="68" spans="1:16">
      <c r="A68" s="146"/>
      <c r="B68" s="173"/>
      <c r="C68" s="265"/>
      <c r="D68" s="146"/>
      <c r="E68" s="71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71"/>
    </row>
    <row r="69" spans="1:16">
      <c r="A69" s="146"/>
      <c r="B69" s="173"/>
      <c r="C69" s="265"/>
      <c r="D69" s="146"/>
      <c r="E69" s="71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71"/>
    </row>
    <row r="70" spans="1:16">
      <c r="A70" s="146"/>
      <c r="B70" s="173"/>
      <c r="C70" s="265"/>
      <c r="D70" s="146"/>
      <c r="E70" s="7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71"/>
    </row>
    <row r="71" spans="1:16">
      <c r="A71" s="146"/>
      <c r="B71" s="173"/>
      <c r="C71" s="265"/>
      <c r="D71" s="146"/>
      <c r="E71" s="71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71"/>
    </row>
    <row r="72" spans="1:16">
      <c r="A72" s="146"/>
      <c r="B72" s="173"/>
      <c r="C72" s="265"/>
      <c r="D72" s="146"/>
      <c r="E72" s="71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71"/>
    </row>
    <row r="73" spans="1:16">
      <c r="A73" s="146"/>
      <c r="B73" s="173"/>
      <c r="C73" s="265"/>
      <c r="D73" s="146"/>
      <c r="E73" s="71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71"/>
    </row>
    <row r="74" spans="1:16">
      <c r="A74" s="146"/>
      <c r="B74" s="173"/>
      <c r="C74" s="265"/>
      <c r="D74" s="146"/>
      <c r="E74" s="71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71"/>
    </row>
  </sheetData>
  <hyperlinks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77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>
    <tabColor theme="1"/>
    <pageSetUpPr fitToPage="1"/>
  </sheetPr>
  <dimension ref="A1:S296"/>
  <sheetViews>
    <sheetView zoomScale="115" zoomScaleNormal="115" workbookViewId="0">
      <pane xSplit="4" ySplit="4" topLeftCell="E62" activePane="bottomRight" state="frozen"/>
      <selection pane="topRight" activeCell="E1" sqref="E1"/>
      <selection pane="bottomLeft" activeCell="A6" sqref="A6"/>
      <selection pane="bottomRight" activeCell="D73" sqref="D73"/>
    </sheetView>
  </sheetViews>
  <sheetFormatPr defaultRowHeight="15"/>
  <cols>
    <col min="1" max="1" width="11.5703125" customWidth="1"/>
    <col min="2" max="2" width="36.5703125" customWidth="1"/>
    <col min="3" max="3" width="3" customWidth="1"/>
    <col min="4" max="4" width="11" customWidth="1"/>
    <col min="5" max="5" width="2.28515625" customWidth="1"/>
    <col min="6" max="6" width="11.85546875" customWidth="1"/>
    <col min="16" max="16" width="2.42578125" customWidth="1"/>
    <col min="18" max="18" width="8.85546875" style="70"/>
  </cols>
  <sheetData>
    <row r="1" spans="1:19" ht="18.75">
      <c r="A1" s="655" t="s">
        <v>23</v>
      </c>
      <c r="B1" s="71"/>
      <c r="C1" s="71"/>
      <c r="D1" s="71"/>
      <c r="E1" s="71"/>
      <c r="F1" s="347" t="str">
        <f t="shared" ref="F1:O1" ca="1" si="0">IF(F64=0,"Верно","Ошибка!")</f>
        <v>Верно</v>
      </c>
      <c r="G1" s="347" t="str">
        <f t="shared" ca="1" si="0"/>
        <v>Верно</v>
      </c>
      <c r="H1" s="347" t="str">
        <f t="shared" ca="1" si="0"/>
        <v>Верно</v>
      </c>
      <c r="I1" s="347" t="str">
        <f t="shared" ca="1" si="0"/>
        <v>Верно</v>
      </c>
      <c r="J1" s="347" t="str">
        <f t="shared" ca="1" si="0"/>
        <v>Верно</v>
      </c>
      <c r="K1" s="347" t="str">
        <f t="shared" ca="1" si="0"/>
        <v>Верно</v>
      </c>
      <c r="L1" s="347" t="str">
        <f t="shared" ca="1" si="0"/>
        <v>Верно</v>
      </c>
      <c r="M1" s="347" t="str">
        <f t="shared" ca="1" si="0"/>
        <v>Верно</v>
      </c>
      <c r="N1" s="347" t="str">
        <f t="shared" ca="1" si="0"/>
        <v>Верно</v>
      </c>
      <c r="O1" s="347" t="str">
        <f t="shared" ca="1" si="0"/>
        <v>Верно</v>
      </c>
      <c r="P1" s="71"/>
      <c r="Q1" s="124" t="str">
        <f ca="1">IF(ROUND(SUM(F64:O64),0)=0,"Ошибок нет","Имеются ошибки. Смотри лист Контроль")</f>
        <v>Ошибок нет</v>
      </c>
      <c r="R1" s="600"/>
      <c r="S1" s="71"/>
    </row>
    <row r="2" spans="1:19">
      <c r="A2" s="71" t="str">
        <f>Паспорт_ФМ_резидент!B7</f>
        <v>Разработка, производство, модернизация и реализация …</v>
      </c>
      <c r="B2" s="71"/>
      <c r="C2" s="71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71"/>
      <c r="Q2" s="71"/>
      <c r="R2" s="600"/>
      <c r="S2" s="71"/>
    </row>
    <row r="3" spans="1:19" s="18" customFormat="1" ht="28.5">
      <c r="A3" s="78" t="s">
        <v>2</v>
      </c>
      <c r="B3" s="78" t="s">
        <v>3</v>
      </c>
      <c r="C3" s="185"/>
      <c r="D3" s="194" t="str">
        <f>CONCATENATE("Итого ",F3,"-",O3)</f>
        <v>Итого 2025-2034</v>
      </c>
      <c r="E3" s="152"/>
      <c r="F3" s="127"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152"/>
      <c r="Q3" s="152"/>
      <c r="R3" s="600">
        <f>COUNTA(R6:R45)</f>
        <v>17</v>
      </c>
      <c r="S3" s="152"/>
    </row>
    <row r="4" spans="1:19" ht="8.65" customHeight="1">
      <c r="A4" s="602"/>
      <c r="B4" s="108"/>
      <c r="C4" s="128"/>
      <c r="D4" s="128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600"/>
      <c r="S4" s="128"/>
    </row>
    <row r="5" spans="1:19">
      <c r="A5" s="603" t="s">
        <v>735</v>
      </c>
      <c r="B5" s="598"/>
      <c r="C5" s="615"/>
      <c r="D5" s="615"/>
      <c r="E5" s="563"/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71"/>
      <c r="Q5" s="364" t="s">
        <v>609</v>
      </c>
      <c r="R5" s="600"/>
      <c r="S5" s="108"/>
    </row>
    <row r="6" spans="1:19" ht="15.75">
      <c r="A6" s="604" t="s">
        <v>626</v>
      </c>
      <c r="B6" s="108"/>
      <c r="C6" s="128"/>
      <c r="D6" s="128"/>
      <c r="E6" s="71"/>
      <c r="F6" s="108"/>
      <c r="G6" s="108" t="b">
        <v>1</v>
      </c>
      <c r="H6" s="108"/>
      <c r="I6" s="108"/>
      <c r="J6" s="108"/>
      <c r="K6" s="108"/>
      <c r="L6" s="108"/>
      <c r="M6" s="108"/>
      <c r="N6" s="108"/>
      <c r="O6" s="108"/>
      <c r="P6" s="71"/>
      <c r="Q6" s="71"/>
      <c r="R6" s="600"/>
      <c r="S6" s="108"/>
    </row>
    <row r="7" spans="1:19">
      <c r="A7" s="605" t="s">
        <v>606</v>
      </c>
      <c r="B7" s="609"/>
      <c r="C7" s="128"/>
      <c r="D7" s="128"/>
      <c r="E7" s="71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71"/>
      <c r="Q7" s="71"/>
      <c r="R7" s="600"/>
      <c r="S7" s="108"/>
    </row>
    <row r="8" spans="1:19" ht="38.25">
      <c r="A8" s="602"/>
      <c r="B8" s="610" t="s">
        <v>608</v>
      </c>
      <c r="C8" s="128"/>
      <c r="D8" s="128"/>
      <c r="E8" s="71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71"/>
      <c r="Q8" s="99"/>
      <c r="R8" s="601" t="b">
        <v>0</v>
      </c>
      <c r="S8" s="108"/>
    </row>
    <row r="9" spans="1:19" ht="38.25">
      <c r="A9" s="602"/>
      <c r="B9" s="610" t="s">
        <v>603</v>
      </c>
      <c r="C9" s="128"/>
      <c r="D9" s="128"/>
      <c r="E9" s="71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71"/>
      <c r="Q9" s="99"/>
      <c r="R9" s="601" t="b">
        <v>0</v>
      </c>
      <c r="S9" s="108"/>
    </row>
    <row r="10" spans="1:19" ht="38.25">
      <c r="A10" s="602"/>
      <c r="B10" s="610" t="s">
        <v>605</v>
      </c>
      <c r="C10" s="128"/>
      <c r="D10" s="128"/>
      <c r="E10" s="71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71"/>
      <c r="Q10" s="99"/>
      <c r="R10" s="601" t="b">
        <v>0</v>
      </c>
      <c r="S10" s="108"/>
    </row>
    <row r="11" spans="1:19" ht="38.25">
      <c r="A11" s="602"/>
      <c r="B11" s="610" t="s">
        <v>604</v>
      </c>
      <c r="C11" s="128"/>
      <c r="D11" s="128"/>
      <c r="E11" s="71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71"/>
      <c r="Q11" s="99"/>
      <c r="R11" s="601" t="b">
        <v>0</v>
      </c>
      <c r="S11" s="108"/>
    </row>
    <row r="12" spans="1:19">
      <c r="A12" s="602"/>
      <c r="B12" s="71"/>
      <c r="C12" s="128"/>
      <c r="D12" s="128"/>
      <c r="E12" s="71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71"/>
      <c r="Q12" s="71"/>
      <c r="R12" s="600"/>
      <c r="S12" s="108"/>
    </row>
    <row r="13" spans="1:19">
      <c r="A13" s="605" t="s">
        <v>607</v>
      </c>
      <c r="B13" s="609"/>
      <c r="C13" s="128"/>
      <c r="D13" s="128"/>
      <c r="E13" s="71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71"/>
      <c r="Q13" s="71"/>
      <c r="R13" s="600"/>
      <c r="S13" s="108"/>
    </row>
    <row r="14" spans="1:19" ht="38.25">
      <c r="A14" s="602"/>
      <c r="B14" s="610" t="s">
        <v>610</v>
      </c>
      <c r="C14" s="128"/>
      <c r="D14" s="128"/>
      <c r="E14" s="71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71"/>
      <c r="Q14" s="99"/>
      <c r="R14" s="601" t="b">
        <v>0</v>
      </c>
      <c r="S14" s="108"/>
    </row>
    <row r="15" spans="1:19">
      <c r="A15" s="602"/>
      <c r="B15" s="71"/>
      <c r="C15" s="128"/>
      <c r="D15" s="128"/>
      <c r="E15" s="71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71"/>
      <c r="Q15" s="71"/>
      <c r="R15" s="600"/>
      <c r="S15" s="108"/>
    </row>
    <row r="16" spans="1:19">
      <c r="A16" s="605" t="s">
        <v>611</v>
      </c>
      <c r="B16" s="609"/>
      <c r="C16" s="128"/>
      <c r="D16" s="128"/>
      <c r="E16" s="71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71"/>
      <c r="Q16" s="71"/>
      <c r="R16" s="600"/>
      <c r="S16" s="108"/>
    </row>
    <row r="17" spans="1:19" ht="25.5">
      <c r="A17" s="602"/>
      <c r="B17" s="610" t="s">
        <v>617</v>
      </c>
      <c r="C17" s="128"/>
      <c r="D17" s="128"/>
      <c r="E17" s="71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71"/>
      <c r="Q17" s="71"/>
      <c r="R17" s="600"/>
      <c r="S17" s="108"/>
    </row>
    <row r="18" spans="1:19" ht="19.149999999999999" customHeight="1">
      <c r="A18" s="602"/>
      <c r="B18" s="610" t="s">
        <v>612</v>
      </c>
      <c r="C18" s="128"/>
      <c r="D18" s="128"/>
      <c r="E18" s="71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71"/>
      <c r="Q18" s="99"/>
      <c r="R18" s="601" t="b">
        <v>0</v>
      </c>
      <c r="S18" s="108"/>
    </row>
    <row r="19" spans="1:19" ht="19.149999999999999" customHeight="1">
      <c r="A19" s="602"/>
      <c r="B19" s="610" t="s">
        <v>613</v>
      </c>
      <c r="C19" s="128"/>
      <c r="D19" s="128"/>
      <c r="E19" s="71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71"/>
      <c r="Q19" s="71"/>
      <c r="R19" s="600" t="b">
        <v>0</v>
      </c>
      <c r="S19" s="108"/>
    </row>
    <row r="20" spans="1:19" ht="19.149999999999999" customHeight="1">
      <c r="A20" s="602"/>
      <c r="B20" s="610" t="s">
        <v>614</v>
      </c>
      <c r="C20" s="128"/>
      <c r="D20" s="128"/>
      <c r="E20" s="71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71"/>
      <c r="Q20" s="71"/>
      <c r="R20" s="600" t="b">
        <v>0</v>
      </c>
      <c r="S20" s="108"/>
    </row>
    <row r="21" spans="1:19" ht="19.149999999999999" customHeight="1">
      <c r="A21" s="602"/>
      <c r="B21" s="610" t="s">
        <v>615</v>
      </c>
      <c r="C21" s="128"/>
      <c r="D21" s="128"/>
      <c r="E21" s="71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71"/>
      <c r="Q21" s="71"/>
      <c r="R21" s="600" t="b">
        <v>0</v>
      </c>
      <c r="S21" s="108"/>
    </row>
    <row r="22" spans="1:19" ht="19.149999999999999" customHeight="1">
      <c r="A22" s="602"/>
      <c r="B22" s="610" t="s">
        <v>616</v>
      </c>
      <c r="C22" s="128"/>
      <c r="D22" s="128"/>
      <c r="E22" s="71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71"/>
      <c r="Q22" s="71"/>
      <c r="R22" s="600" t="b">
        <v>0</v>
      </c>
      <c r="S22" s="108"/>
    </row>
    <row r="23" spans="1:19">
      <c r="A23" s="602"/>
      <c r="B23" s="610"/>
      <c r="C23" s="128"/>
      <c r="D23" s="128"/>
      <c r="E23" s="71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71"/>
      <c r="Q23" s="71"/>
      <c r="R23" s="600"/>
      <c r="S23" s="108"/>
    </row>
    <row r="24" spans="1:19">
      <c r="A24" s="605" t="s">
        <v>618</v>
      </c>
      <c r="B24" s="609"/>
      <c r="C24" s="128"/>
      <c r="D24" s="128"/>
      <c r="E24" s="71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71"/>
      <c r="Q24" s="71"/>
      <c r="R24" s="600"/>
      <c r="S24" s="108"/>
    </row>
    <row r="25" spans="1:19" ht="102">
      <c r="A25" s="602"/>
      <c r="B25" s="610" t="s">
        <v>619</v>
      </c>
      <c r="C25" s="128"/>
      <c r="D25" s="128"/>
      <c r="E25" s="71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71"/>
      <c r="Q25" s="71"/>
      <c r="R25" s="600" t="b">
        <v>1</v>
      </c>
      <c r="S25" s="108"/>
    </row>
    <row r="26" spans="1:19">
      <c r="A26" s="602"/>
      <c r="B26" s="71"/>
      <c r="C26" s="128"/>
      <c r="D26" s="128"/>
      <c r="E26" s="71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71"/>
      <c r="Q26" s="71"/>
      <c r="R26" s="600"/>
      <c r="S26" s="108"/>
    </row>
    <row r="27" spans="1:19">
      <c r="A27" s="605" t="s">
        <v>620</v>
      </c>
      <c r="B27" s="609"/>
      <c r="C27" s="128"/>
      <c r="D27" s="128"/>
      <c r="E27" s="71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71"/>
      <c r="Q27" s="71"/>
      <c r="R27" s="600"/>
      <c r="S27" s="108"/>
    </row>
    <row r="28" spans="1:19" ht="25.5">
      <c r="A28" s="602"/>
      <c r="B28" s="610" t="s">
        <v>621</v>
      </c>
      <c r="C28" s="128"/>
      <c r="D28" s="128"/>
      <c r="E28" s="71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71"/>
      <c r="Q28" s="71"/>
      <c r="R28" s="600" t="b">
        <v>0</v>
      </c>
      <c r="S28" s="108"/>
    </row>
    <row r="29" spans="1:19">
      <c r="A29" s="602"/>
      <c r="B29" s="71"/>
      <c r="C29" s="128"/>
      <c r="D29" s="128"/>
      <c r="E29" s="71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71"/>
      <c r="Q29" s="71"/>
      <c r="R29" s="600"/>
      <c r="S29" s="108"/>
    </row>
    <row r="30" spans="1:19">
      <c r="A30" s="605" t="s">
        <v>622</v>
      </c>
      <c r="B30" s="609"/>
      <c r="C30" s="128"/>
      <c r="D30" s="128"/>
      <c r="E30" s="71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71"/>
      <c r="Q30" s="71"/>
      <c r="R30" s="600"/>
      <c r="S30" s="108"/>
    </row>
    <row r="31" spans="1:19" ht="19.5" customHeight="1">
      <c r="A31" s="602"/>
      <c r="B31" s="610" t="s">
        <v>623</v>
      </c>
      <c r="C31" s="128"/>
      <c r="D31" s="128"/>
      <c r="E31" s="71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71"/>
      <c r="Q31" s="71"/>
      <c r="R31" s="600" t="b">
        <v>0</v>
      </c>
      <c r="S31" s="108"/>
    </row>
    <row r="32" spans="1:19">
      <c r="A32" s="602"/>
      <c r="B32" s="71"/>
      <c r="C32" s="128"/>
      <c r="D32" s="128"/>
      <c r="E32" s="71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71"/>
      <c r="Q32" s="71"/>
      <c r="R32" s="600"/>
      <c r="S32" s="108"/>
    </row>
    <row r="33" spans="1:19">
      <c r="A33" s="605" t="s">
        <v>624</v>
      </c>
      <c r="B33" s="609"/>
      <c r="C33" s="128"/>
      <c r="D33" s="128"/>
      <c r="E33" s="71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71"/>
      <c r="Q33" s="71"/>
      <c r="R33" s="600"/>
      <c r="S33" s="108"/>
    </row>
    <row r="34" spans="1:19" ht="20.100000000000001" customHeight="1">
      <c r="A34" s="602"/>
      <c r="B34" s="610" t="s">
        <v>625</v>
      </c>
      <c r="C34" s="128"/>
      <c r="D34" s="128"/>
      <c r="E34" s="71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71"/>
      <c r="Q34" s="71"/>
      <c r="R34" s="600" t="b">
        <v>1</v>
      </c>
      <c r="S34" s="108"/>
    </row>
    <row r="35" spans="1:19">
      <c r="A35" s="602"/>
      <c r="B35" s="71"/>
      <c r="C35" s="128"/>
      <c r="D35" s="128"/>
      <c r="E35" s="71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71"/>
      <c r="Q35" s="71"/>
      <c r="R35" s="600"/>
      <c r="S35" s="108"/>
    </row>
    <row r="36" spans="1:19" ht="15.75">
      <c r="A36" s="606" t="s">
        <v>627</v>
      </c>
      <c r="B36" s="611"/>
      <c r="C36" s="128"/>
      <c r="D36" s="128"/>
      <c r="E36" s="71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71"/>
      <c r="Q36" s="71"/>
      <c r="R36" s="600"/>
      <c r="S36" s="108"/>
    </row>
    <row r="37" spans="1:19">
      <c r="A37" s="602"/>
      <c r="B37" s="71"/>
      <c r="C37" s="128"/>
      <c r="D37" s="128"/>
      <c r="E37" s="71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71"/>
      <c r="Q37" s="71"/>
      <c r="R37" s="600"/>
      <c r="S37" s="108"/>
    </row>
    <row r="38" spans="1:19">
      <c r="A38" s="607" t="s">
        <v>628</v>
      </c>
      <c r="B38" s="71"/>
      <c r="C38" s="128"/>
      <c r="D38" s="128"/>
      <c r="E38" s="71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71"/>
      <c r="Q38" s="71"/>
      <c r="R38" s="600"/>
      <c r="S38" s="108"/>
    </row>
    <row r="39" spans="1:19">
      <c r="A39" s="605" t="s">
        <v>736</v>
      </c>
      <c r="B39" s="609"/>
      <c r="C39" s="128"/>
      <c r="D39" s="128"/>
      <c r="E39" s="71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71"/>
      <c r="Q39" s="71"/>
      <c r="R39" s="600"/>
      <c r="S39" s="108"/>
    </row>
    <row r="40" spans="1:19" ht="51">
      <c r="A40" s="602"/>
      <c r="B40" s="610" t="s">
        <v>629</v>
      </c>
      <c r="C40" s="128"/>
      <c r="D40" s="128"/>
      <c r="E40" s="71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71"/>
      <c r="Q40" s="71"/>
      <c r="R40" s="600" t="b">
        <v>1</v>
      </c>
      <c r="S40" s="108"/>
    </row>
    <row r="41" spans="1:19" ht="38.25">
      <c r="A41" s="602"/>
      <c r="B41" s="610" t="s">
        <v>630</v>
      </c>
      <c r="C41" s="128"/>
      <c r="D41" s="128"/>
      <c r="E41" s="71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71"/>
      <c r="Q41" s="71"/>
      <c r="R41" s="600" t="b">
        <v>1</v>
      </c>
      <c r="S41" s="108"/>
    </row>
    <row r="42" spans="1:19" ht="38.25">
      <c r="A42" s="602"/>
      <c r="B42" s="610" t="s">
        <v>631</v>
      </c>
      <c r="C42" s="128"/>
      <c r="D42" s="128"/>
      <c r="E42" s="71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71"/>
      <c r="Q42" s="71"/>
      <c r="R42" s="600"/>
      <c r="S42" s="108"/>
    </row>
    <row r="43" spans="1:19">
      <c r="A43" s="602"/>
      <c r="B43" s="610"/>
      <c r="C43" s="128"/>
      <c r="D43" s="128"/>
      <c r="E43" s="71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71"/>
      <c r="Q43" s="71"/>
      <c r="R43" s="600"/>
      <c r="S43" s="108"/>
    </row>
    <row r="44" spans="1:19">
      <c r="A44" s="605" t="s">
        <v>633</v>
      </c>
      <c r="B44" s="609"/>
      <c r="C44" s="128"/>
      <c r="D44" s="128"/>
      <c r="E44" s="71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71"/>
      <c r="Q44" s="71"/>
      <c r="R44" s="600"/>
      <c r="S44" s="108"/>
    </row>
    <row r="45" spans="1:19" ht="22.15" customHeight="1">
      <c r="A45" s="602"/>
      <c r="B45" s="610" t="s">
        <v>632</v>
      </c>
      <c r="C45" s="128"/>
      <c r="D45" s="128"/>
      <c r="E45" s="71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71"/>
      <c r="Q45" s="71"/>
      <c r="R45" s="600" t="b">
        <v>1</v>
      </c>
      <c r="S45" s="108"/>
    </row>
    <row r="46" spans="1:19" ht="38.25">
      <c r="A46" s="602"/>
      <c r="B46" s="610" t="s">
        <v>634</v>
      </c>
      <c r="C46" s="128"/>
      <c r="D46" s="128"/>
      <c r="E46" s="71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71"/>
      <c r="Q46" s="71"/>
      <c r="R46" s="600" t="b">
        <v>1</v>
      </c>
      <c r="S46" s="108"/>
    </row>
    <row r="47" spans="1:19" ht="38.25">
      <c r="A47" s="602"/>
      <c r="B47" s="610" t="s">
        <v>635</v>
      </c>
      <c r="C47" s="128"/>
      <c r="D47" s="128"/>
      <c r="E47" s="71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71"/>
      <c r="Q47" s="71"/>
      <c r="R47" s="600" t="b">
        <v>1</v>
      </c>
      <c r="S47" s="108"/>
    </row>
    <row r="48" spans="1:19" ht="51">
      <c r="A48" s="602"/>
      <c r="B48" s="610" t="s">
        <v>636</v>
      </c>
      <c r="C48" s="128"/>
      <c r="D48" s="128"/>
      <c r="E48" s="71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71"/>
      <c r="Q48" s="71"/>
      <c r="R48" s="600" t="b">
        <v>1</v>
      </c>
      <c r="S48" s="108"/>
    </row>
    <row r="49" spans="1:19" ht="38.25">
      <c r="A49" s="602"/>
      <c r="B49" s="610" t="s">
        <v>637</v>
      </c>
      <c r="C49" s="128"/>
      <c r="D49" s="128"/>
      <c r="E49" s="71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71"/>
      <c r="Q49" s="71"/>
      <c r="R49" s="600" t="b">
        <v>1</v>
      </c>
      <c r="S49" s="108"/>
    </row>
    <row r="50" spans="1:19" ht="38.25">
      <c r="A50" s="602"/>
      <c r="B50" s="610" t="s">
        <v>638</v>
      </c>
      <c r="C50" s="128"/>
      <c r="D50" s="128"/>
      <c r="E50" s="71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71"/>
      <c r="Q50" s="71"/>
      <c r="R50" s="600" t="b">
        <v>1</v>
      </c>
      <c r="S50" s="108"/>
    </row>
    <row r="51" spans="1:19">
      <c r="A51" s="602"/>
      <c r="B51" s="610"/>
      <c r="C51" s="128"/>
      <c r="D51" s="128"/>
      <c r="E51" s="71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71"/>
      <c r="Q51" s="71"/>
      <c r="R51" s="600"/>
      <c r="S51" s="108"/>
    </row>
    <row r="52" spans="1:19">
      <c r="A52" s="605" t="s">
        <v>606</v>
      </c>
      <c r="B52" s="609"/>
      <c r="C52" s="128"/>
      <c r="D52" s="128"/>
      <c r="E52" s="71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71"/>
      <c r="Q52" s="71"/>
      <c r="R52" s="600"/>
      <c r="S52" s="108"/>
    </row>
    <row r="53" spans="1:19" ht="38.25">
      <c r="A53" s="602"/>
      <c r="B53" s="612" t="s">
        <v>639</v>
      </c>
      <c r="C53" s="128"/>
      <c r="D53" s="128"/>
      <c r="E53" s="71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71"/>
      <c r="Q53" s="71"/>
      <c r="R53" s="600" t="b">
        <v>0</v>
      </c>
      <c r="S53" s="108"/>
    </row>
    <row r="54" spans="1:19">
      <c r="A54" s="602"/>
      <c r="B54" s="610"/>
      <c r="C54" s="128"/>
      <c r="D54" s="128"/>
      <c r="E54" s="71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71"/>
      <c r="Q54" s="71"/>
      <c r="R54" s="600"/>
      <c r="S54" s="108"/>
    </row>
    <row r="55" spans="1:19">
      <c r="A55" s="605" t="s">
        <v>607</v>
      </c>
      <c r="B55" s="609"/>
      <c r="C55" s="128"/>
      <c r="D55" s="128"/>
      <c r="E55" s="71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71"/>
      <c r="Q55" s="71"/>
      <c r="R55" s="600"/>
      <c r="S55" s="108"/>
    </row>
    <row r="56" spans="1:19" ht="21.4" customHeight="1">
      <c r="A56" s="602"/>
      <c r="B56" s="610" t="s">
        <v>640</v>
      </c>
      <c r="C56" s="128"/>
      <c r="D56" s="128"/>
      <c r="E56" s="71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71"/>
      <c r="Q56" s="71"/>
      <c r="R56" s="600" t="b">
        <v>0</v>
      </c>
      <c r="S56" s="108"/>
    </row>
    <row r="57" spans="1:19">
      <c r="A57" s="602"/>
      <c r="B57" s="610"/>
      <c r="C57" s="128"/>
      <c r="D57" s="128"/>
      <c r="E57" s="71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71"/>
      <c r="Q57" s="71"/>
      <c r="R57" s="600"/>
      <c r="S57" s="108"/>
    </row>
    <row r="58" spans="1:19">
      <c r="A58" s="605" t="s">
        <v>611</v>
      </c>
      <c r="B58" s="609"/>
      <c r="C58" s="128"/>
      <c r="D58" s="128"/>
      <c r="E58" s="71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71"/>
      <c r="Q58" s="71"/>
      <c r="R58" s="600"/>
      <c r="S58" s="108"/>
    </row>
    <row r="59" spans="1:19" ht="25.5">
      <c r="A59" s="602"/>
      <c r="B59" s="610" t="s">
        <v>641</v>
      </c>
      <c r="C59" s="128"/>
      <c r="D59" s="128"/>
      <c r="E59" s="71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71"/>
      <c r="Q59" s="71"/>
      <c r="R59" s="600" t="b">
        <v>1</v>
      </c>
      <c r="S59" s="108"/>
    </row>
    <row r="60" spans="1:19">
      <c r="A60" s="602"/>
      <c r="B60" s="108"/>
      <c r="C60" s="128"/>
      <c r="D60" s="128"/>
      <c r="E60" s="71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71"/>
      <c r="Q60" s="71"/>
      <c r="R60" s="600"/>
      <c r="S60" s="108"/>
    </row>
    <row r="61" spans="1:19">
      <c r="A61" s="602"/>
      <c r="B61" s="108"/>
      <c r="C61" s="128"/>
      <c r="D61" s="128"/>
      <c r="E61" s="71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71"/>
      <c r="Q61" s="71"/>
      <c r="R61" s="600"/>
      <c r="S61" s="108"/>
    </row>
    <row r="62" spans="1:19">
      <c r="A62" s="602"/>
      <c r="B62" s="108"/>
      <c r="C62" s="128"/>
      <c r="D62" s="128"/>
      <c r="E62" s="71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71"/>
      <c r="Q62" s="71"/>
      <c r="R62" s="600"/>
      <c r="S62" s="108"/>
    </row>
    <row r="63" spans="1:19">
      <c r="A63" s="603" t="s">
        <v>734</v>
      </c>
      <c r="B63" s="598"/>
      <c r="C63" s="615"/>
      <c r="D63" s="615"/>
      <c r="E63" s="563"/>
      <c r="F63" s="598"/>
      <c r="G63" s="598"/>
      <c r="H63" s="598"/>
      <c r="I63" s="598"/>
      <c r="J63" s="598"/>
      <c r="K63" s="598"/>
      <c r="L63" s="598"/>
      <c r="M63" s="598"/>
      <c r="N63" s="598"/>
      <c r="O63" s="598"/>
      <c r="P63" s="71"/>
      <c r="Q63" s="71"/>
      <c r="R63" s="600"/>
      <c r="S63" s="108"/>
    </row>
    <row r="64" spans="1:19">
      <c r="A64" s="602"/>
      <c r="B64" s="108"/>
      <c r="C64" s="128"/>
      <c r="D64" s="128"/>
      <c r="E64" s="71"/>
      <c r="F64" s="599">
        <f ca="1">SUM(F66:F78)</f>
        <v>0</v>
      </c>
      <c r="G64" s="599">
        <f t="shared" ref="G64:O64" ca="1" si="2">SUM(G66:G78)</f>
        <v>0</v>
      </c>
      <c r="H64" s="599">
        <f t="shared" ca="1" si="2"/>
        <v>0</v>
      </c>
      <c r="I64" s="599">
        <f t="shared" ca="1" si="2"/>
        <v>0</v>
      </c>
      <c r="J64" s="599">
        <f t="shared" ca="1" si="2"/>
        <v>0</v>
      </c>
      <c r="K64" s="599">
        <f t="shared" ca="1" si="2"/>
        <v>0</v>
      </c>
      <c r="L64" s="599">
        <f t="shared" ca="1" si="2"/>
        <v>0</v>
      </c>
      <c r="M64" s="599">
        <f t="shared" ca="1" si="2"/>
        <v>0</v>
      </c>
      <c r="N64" s="599">
        <f t="shared" ca="1" si="2"/>
        <v>0</v>
      </c>
      <c r="O64" s="599">
        <f t="shared" ca="1" si="2"/>
        <v>0</v>
      </c>
      <c r="P64" s="71"/>
      <c r="Q64" s="71"/>
      <c r="R64" s="600"/>
      <c r="S64" s="108"/>
    </row>
    <row r="65" spans="1:19">
      <c r="A65" s="602"/>
      <c r="B65" s="108"/>
      <c r="C65" s="128"/>
      <c r="D65" s="128"/>
      <c r="E65" s="71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71"/>
      <c r="Q65" s="71"/>
      <c r="R65" s="600"/>
      <c r="S65" s="108"/>
    </row>
    <row r="66" spans="1:19">
      <c r="A66" s="221" t="str">
        <f t="array" aca="1" ref="A66" ca="1">HYPERLINK(CELL("адрес",Баланс!A42),"источник")</f>
        <v>источник</v>
      </c>
      <c r="B66" s="206" t="s">
        <v>24</v>
      </c>
      <c r="C66" s="146"/>
      <c r="D66" s="226">
        <f ca="1">SUM(F66:O66)</f>
        <v>0</v>
      </c>
      <c r="E66" s="71"/>
      <c r="F66" s="126">
        <f ca="1">ROUND(Баланс!F21,2)-ROUND(Баланс!F40,2)</f>
        <v>0</v>
      </c>
      <c r="G66" s="126">
        <f ca="1">ROUND(Баланс!G21,2)-ROUND(Баланс!G40,2)</f>
        <v>0</v>
      </c>
      <c r="H66" s="126">
        <f ca="1">ROUND(Баланс!H21,2)-ROUND(Баланс!H40,2)</f>
        <v>0</v>
      </c>
      <c r="I66" s="126">
        <f ca="1">ROUND(Баланс!I21,2)-ROUND(Баланс!I40,2)</f>
        <v>0</v>
      </c>
      <c r="J66" s="126">
        <f ca="1">ROUND(Баланс!J21,2)-ROUND(Баланс!J40,2)</f>
        <v>0</v>
      </c>
      <c r="K66" s="126">
        <f ca="1">ROUND(Баланс!K21,2)-ROUND(Баланс!K40,2)</f>
        <v>0</v>
      </c>
      <c r="L66" s="126">
        <f ca="1">ROUND(Баланс!L21,2)-ROUND(Баланс!L40,2)</f>
        <v>0</v>
      </c>
      <c r="M66" s="126">
        <f ca="1">ROUND(Баланс!M21,2)-ROUND(Баланс!M40,2)</f>
        <v>0</v>
      </c>
      <c r="N66" s="126">
        <f ca="1">ROUND(Баланс!N21,2)-ROUND(Баланс!N40,2)</f>
        <v>0</v>
      </c>
      <c r="O66" s="126">
        <f ca="1">ROUND(Баланс!O21,2)-ROUND(Баланс!O40,2)</f>
        <v>0</v>
      </c>
      <c r="P66" s="71"/>
      <c r="Q66" s="71"/>
      <c r="R66" s="600"/>
      <c r="S66" s="71"/>
    </row>
    <row r="67" spans="1:19">
      <c r="A67" s="221" t="str">
        <f t="array" aca="1" ref="A67" ca="1">HYPERLINK(CELL("адрес",БДДС!A59),"источник")</f>
        <v>источник</v>
      </c>
      <c r="B67" s="206" t="s">
        <v>462</v>
      </c>
      <c r="C67" s="146"/>
      <c r="D67" s="226">
        <f t="shared" ref="D67:D76" ca="1" si="3">SUM(F67:O67)</f>
        <v>0</v>
      </c>
      <c r="E67" s="71"/>
      <c r="F67" s="126">
        <f ca="1">IF(ROUND(БДДС!F59,3)&gt;=0,0,1)</f>
        <v>0</v>
      </c>
      <c r="G67" s="126">
        <f ca="1">IF(ROUND(БДДС!G59,3)&gt;=0,0,1)</f>
        <v>0</v>
      </c>
      <c r="H67" s="126">
        <f ca="1">IF(ROUND(БДДС!H59,3)&gt;=0,0,1)</f>
        <v>0</v>
      </c>
      <c r="I67" s="126">
        <f ca="1">IF(ROUND(БДДС!I59,3)&gt;=0,0,1)</f>
        <v>0</v>
      </c>
      <c r="J67" s="126">
        <f ca="1">IF(ROUND(БДДС!J59,3)&gt;=0,0,1)</f>
        <v>0</v>
      </c>
      <c r="K67" s="126">
        <f ca="1">IF(ROUND(БДДС!K59,3)&gt;=0,0,1)</f>
        <v>0</v>
      </c>
      <c r="L67" s="126">
        <f ca="1">IF(ROUND(БДДС!L59,3)&gt;=0,0,1)</f>
        <v>0</v>
      </c>
      <c r="M67" s="126">
        <f ca="1">IF(ROUND(БДДС!M59,3)&gt;=0,0,1)</f>
        <v>0</v>
      </c>
      <c r="N67" s="126">
        <f ca="1">IF(ROUND(БДДС!N59,3)&gt;=0,0,1)</f>
        <v>0</v>
      </c>
      <c r="O67" s="126">
        <f ca="1">IF(ROUND(БДДС!O59,3)&gt;=0,0,1)</f>
        <v>0</v>
      </c>
      <c r="P67" s="71"/>
      <c r="Q67" s="71"/>
      <c r="R67" s="600"/>
      <c r="S67" s="71"/>
    </row>
    <row r="68" spans="1:19">
      <c r="A68" s="221" t="str">
        <f t="array" aca="1" ref="A68" ca="1">HYPERLINK(CELL("адрес",БДДС!A60),"источник")</f>
        <v>источник</v>
      </c>
      <c r="B68" s="206" t="s">
        <v>572</v>
      </c>
      <c r="C68" s="146"/>
      <c r="D68" s="226">
        <f t="shared" ca="1" si="3"/>
        <v>0</v>
      </c>
      <c r="E68" s="71"/>
      <c r="F68" s="126">
        <f ca="1">БДДС!F59-Баланс!F19</f>
        <v>0</v>
      </c>
      <c r="G68" s="126">
        <f ca="1">БДДС!G59-Баланс!G19</f>
        <v>0</v>
      </c>
      <c r="H68" s="126">
        <f ca="1">БДДС!H59-Баланс!H19</f>
        <v>0</v>
      </c>
      <c r="I68" s="126">
        <f ca="1">БДДС!I59-Баланс!I19</f>
        <v>0</v>
      </c>
      <c r="J68" s="126">
        <f ca="1">БДДС!J59-Баланс!J19</f>
        <v>0</v>
      </c>
      <c r="K68" s="126">
        <f ca="1">БДДС!K59-Баланс!K19</f>
        <v>0</v>
      </c>
      <c r="L68" s="126">
        <f ca="1">БДДС!L59-Баланс!L19</f>
        <v>0</v>
      </c>
      <c r="M68" s="126">
        <f ca="1">БДДС!M59-Баланс!M19</f>
        <v>0</v>
      </c>
      <c r="N68" s="126">
        <f ca="1">БДДС!N59-Баланс!N19</f>
        <v>0</v>
      </c>
      <c r="O68" s="126">
        <f ca="1">БДДС!O59-Баланс!O19</f>
        <v>0</v>
      </c>
      <c r="P68" s="71"/>
      <c r="Q68" s="71"/>
      <c r="R68" s="600"/>
      <c r="S68" s="71"/>
    </row>
    <row r="69" spans="1:19" ht="45">
      <c r="A69" s="221" t="str">
        <f t="array" aca="1" ref="A69" ca="1">HYPERLINK(CELL("адрес",Баланс!A25),"источник")</f>
        <v>источник</v>
      </c>
      <c r="B69" s="206" t="s">
        <v>449</v>
      </c>
      <c r="C69" s="146"/>
      <c r="D69" s="226">
        <f t="shared" ca="1" si="3"/>
        <v>0</v>
      </c>
      <c r="E69" s="71"/>
      <c r="F69" s="126">
        <f ca="1">Баланс!F25-БДР!F36</f>
        <v>0</v>
      </c>
      <c r="G69" s="126">
        <f ca="1">Баланс!G25-БДР!G36</f>
        <v>0</v>
      </c>
      <c r="H69" s="126">
        <f ca="1">Баланс!H25-БДР!H36</f>
        <v>0</v>
      </c>
      <c r="I69" s="126">
        <f ca="1">Баланс!I25-БДР!I36</f>
        <v>0</v>
      </c>
      <c r="J69" s="126">
        <f ca="1">Баланс!J25-БДР!J36</f>
        <v>0</v>
      </c>
      <c r="K69" s="126">
        <f ca="1">Баланс!K25-БДР!K36</f>
        <v>0</v>
      </c>
      <c r="L69" s="126">
        <f ca="1">Баланс!L25-БДР!L36</f>
        <v>0</v>
      </c>
      <c r="M69" s="126">
        <f ca="1">Баланс!M25-БДР!M36</f>
        <v>0</v>
      </c>
      <c r="N69" s="126">
        <f ca="1">Баланс!N25-БДР!N36</f>
        <v>0</v>
      </c>
      <c r="O69" s="126">
        <f ca="1">Баланс!O25-БДР!O36</f>
        <v>0</v>
      </c>
      <c r="P69" s="71"/>
      <c r="Q69" s="71"/>
      <c r="R69" s="600"/>
      <c r="S69" s="71"/>
    </row>
    <row r="70" spans="1:19" ht="75">
      <c r="A70" s="236"/>
      <c r="B70" s="206" t="s">
        <v>25</v>
      </c>
      <c r="C70" s="146"/>
      <c r="D70" s="226">
        <f t="shared" si="3"/>
        <v>0</v>
      </c>
      <c r="E70" s="71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71"/>
      <c r="Q70" s="71"/>
      <c r="R70" s="600"/>
      <c r="S70" s="71"/>
    </row>
    <row r="71" spans="1:19" ht="30">
      <c r="A71" s="221" t="str">
        <f t="array" aca="1" ref="A71" ca="1">HYPERLINK(CELL("адрес",БДР!A9),"источник")</f>
        <v>источник</v>
      </c>
      <c r="B71" s="206" t="s">
        <v>159</v>
      </c>
      <c r="C71" s="146"/>
      <c r="D71" s="226">
        <f t="shared" si="3"/>
        <v>0</v>
      </c>
      <c r="E71" s="71"/>
      <c r="F71" s="126">
        <f>(БДР!F9+БДР!F15)-(БДДС!F14+БДДС!F15+БДДС!F16)</f>
        <v>0</v>
      </c>
      <c r="G71" s="126">
        <f>(БДР!G9+БДР!G15)-(БДДС!G14+БДДС!G15+БДДС!G16)</f>
        <v>0</v>
      </c>
      <c r="H71" s="126">
        <f>(БДР!H9+БДР!H15)-(БДДС!H14+БДДС!H15+БДДС!H16)</f>
        <v>0</v>
      </c>
      <c r="I71" s="126">
        <f>(БДР!I9+БДР!I15)-(БДДС!I14+БДДС!I15+БДДС!I16)</f>
        <v>0</v>
      </c>
      <c r="J71" s="126">
        <f>(БДР!J9+БДР!J15)-(БДДС!J14+БДДС!J15+БДДС!J16)</f>
        <v>0</v>
      </c>
      <c r="K71" s="126">
        <f>(БДР!K9+БДР!K15)-(БДДС!K14+БДДС!K15+БДДС!K16)</f>
        <v>0</v>
      </c>
      <c r="L71" s="126">
        <f>(БДР!L9+БДР!L15)-(БДДС!L14+БДДС!L15+БДДС!L16)</f>
        <v>0</v>
      </c>
      <c r="M71" s="126">
        <f>(БДР!M9+БДР!M15)-(БДДС!M14+БДДС!M15+БДДС!M16)</f>
        <v>0</v>
      </c>
      <c r="N71" s="126">
        <f>(БДР!N9+БДР!N15)-(БДДС!N14+БДДС!N15+БДДС!N16)</f>
        <v>0</v>
      </c>
      <c r="O71" s="126">
        <f>(БДР!O9+БДР!O15)-(БДДС!O14+БДДС!O15+БДДС!O16)</f>
        <v>0</v>
      </c>
      <c r="P71" s="71"/>
      <c r="Q71" s="71"/>
      <c r="R71" s="600"/>
      <c r="S71" s="71"/>
    </row>
    <row r="72" spans="1:19">
      <c r="A72" s="236"/>
      <c r="B72" s="206"/>
      <c r="C72" s="146"/>
      <c r="D72" s="226">
        <f t="shared" si="3"/>
        <v>0</v>
      </c>
      <c r="E72" s="71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71"/>
      <c r="Q72" s="71"/>
      <c r="R72" s="600"/>
      <c r="S72" s="71"/>
    </row>
    <row r="73" spans="1:19" ht="30">
      <c r="A73" s="221" t="str">
        <f t="array" aca="1" ref="A73" ca="1">HYPERLINK(CELL("адрес",БалансбезЛьгот!A42),"источник")</f>
        <v>источник</v>
      </c>
      <c r="B73" s="206" t="s">
        <v>570</v>
      </c>
      <c r="C73" s="146"/>
      <c r="D73" s="226">
        <f t="shared" ca="1" si="3"/>
        <v>0</v>
      </c>
      <c r="E73" s="71"/>
      <c r="F73" s="126">
        <f ca="1">ROUND(БалансбезЛьгот!F21,2)-ROUND(БалансбезЛьгот!F40,2)</f>
        <v>0</v>
      </c>
      <c r="G73" s="126">
        <f ca="1">ROUND(БалансбезЛьгот!G21,2)-ROUND(БалансбезЛьгот!G40,2)</f>
        <v>0</v>
      </c>
      <c r="H73" s="126">
        <f ca="1">ROUND(БалансбезЛьгот!H21,2)-ROUND(БалансбезЛьгот!H40,2)</f>
        <v>0</v>
      </c>
      <c r="I73" s="126">
        <f ca="1">ROUND(БалансбезЛьгот!I21,2)-ROUND(БалансбезЛьгот!I40,2)</f>
        <v>0</v>
      </c>
      <c r="J73" s="126">
        <f ca="1">ROUND(БалансбезЛьгот!J21,2)-ROUND(БалансбезЛьгот!J40,2)</f>
        <v>0</v>
      </c>
      <c r="K73" s="126">
        <f ca="1">ROUND(БалансбезЛьгот!K21,2)-ROUND(БалансбезЛьгот!K40,2)</f>
        <v>0</v>
      </c>
      <c r="L73" s="126">
        <f ca="1">ROUND(БалансбезЛьгот!L21,2)-ROUND(БалансбезЛьгот!L40,2)</f>
        <v>0</v>
      </c>
      <c r="M73" s="126">
        <f ca="1">ROUND(БалансбезЛьгот!M21,2)-ROUND(БалансбезЛьгот!M40,2)</f>
        <v>0</v>
      </c>
      <c r="N73" s="126">
        <f ca="1">ROUND(БалансбезЛьгот!N21,2)-ROUND(БалансбезЛьгот!N40,2)</f>
        <v>0</v>
      </c>
      <c r="O73" s="126">
        <f ca="1">ROUND(БалансбезЛьгот!O21,2)-ROUND(БалансбезЛьгот!O40,2)</f>
        <v>0</v>
      </c>
      <c r="P73" s="71"/>
      <c r="Q73" s="71"/>
      <c r="R73" s="600"/>
      <c r="S73" s="71"/>
    </row>
    <row r="74" spans="1:19" ht="30">
      <c r="A74" s="221" t="str">
        <f t="array" aca="1" ref="A74" ca="1">HYPERLINK(CELL("адрес",БДДСбезЛьгот!A58),"источник")</f>
        <v>источник</v>
      </c>
      <c r="B74" s="206" t="s">
        <v>571</v>
      </c>
      <c r="C74" s="146"/>
      <c r="D74" s="226">
        <f t="shared" si="3"/>
        <v>0</v>
      </c>
      <c r="E74" s="71"/>
      <c r="F74" s="126">
        <f>IF(ROUND(БДДСбезЛьгот!F69,3)&gt;=0,0,1)</f>
        <v>0</v>
      </c>
      <c r="G74" s="126">
        <f>IF(ROUND(БДДСбезЛьгот!G69,3)&gt;=0,0,1)</f>
        <v>0</v>
      </c>
      <c r="H74" s="126">
        <f>IF(ROUND(БДДСбезЛьгот!H69,3)&gt;=0,0,1)</f>
        <v>0</v>
      </c>
      <c r="I74" s="126">
        <f>IF(ROUND(БДДСбезЛьгот!I69,3)&gt;=0,0,1)</f>
        <v>0</v>
      </c>
      <c r="J74" s="126">
        <f>IF(ROUND(БДДСбезЛьгот!J69,3)&gt;=0,0,1)</f>
        <v>0</v>
      </c>
      <c r="K74" s="126">
        <f>IF(ROUND(БДДСбезЛьгот!K69,3)&gt;=0,0,1)</f>
        <v>0</v>
      </c>
      <c r="L74" s="126">
        <f>IF(ROUND(БДДСбезЛьгот!L69,3)&gt;=0,0,1)</f>
        <v>0</v>
      </c>
      <c r="M74" s="126">
        <f>IF(ROUND(БДДСбезЛьгот!M69,3)&gt;=0,0,1)</f>
        <v>0</v>
      </c>
      <c r="N74" s="126">
        <f>IF(ROUND(БДДСбезЛьгот!N69,3)&gt;=0,0,1)</f>
        <v>0</v>
      </c>
      <c r="O74" s="126">
        <f>IF(ROUND(БДДСбезЛьгот!O69,3)&gt;=0,0,1)</f>
        <v>0</v>
      </c>
      <c r="P74" s="71"/>
      <c r="Q74" s="71"/>
      <c r="R74" s="600"/>
      <c r="S74" s="71"/>
    </row>
    <row r="75" spans="1:19" ht="30">
      <c r="A75" s="221" t="str">
        <f t="array" aca="1" ref="A75" ca="1">HYPERLINK(CELL("адрес",БДДСбезЛьгот!A70),"источник")</f>
        <v>источник</v>
      </c>
      <c r="B75" s="206" t="s">
        <v>573</v>
      </c>
      <c r="C75" s="146"/>
      <c r="D75" s="226">
        <f t="shared" ca="1" si="3"/>
        <v>0</v>
      </c>
      <c r="E75" s="71"/>
      <c r="F75" s="126">
        <f ca="1">БДДСбезЛьгот!F58-БалансбезЛьгот!F19</f>
        <v>0</v>
      </c>
      <c r="G75" s="126">
        <f ca="1">БДДСбезЛьгот!G58-БалансбезЛьгот!G19</f>
        <v>0</v>
      </c>
      <c r="H75" s="126">
        <f ca="1">БДДСбезЛьгот!H58-БалансбезЛьгот!H19</f>
        <v>0</v>
      </c>
      <c r="I75" s="126">
        <f ca="1">БДДСбезЛьгот!I58-БалансбезЛьгот!I19</f>
        <v>0</v>
      </c>
      <c r="J75" s="126">
        <f ca="1">БДДСбезЛьгот!J58-БалансбезЛьгот!J19</f>
        <v>0</v>
      </c>
      <c r="K75" s="126">
        <f ca="1">БДДСбезЛьгот!K58-БалансбезЛьгот!K19</f>
        <v>0</v>
      </c>
      <c r="L75" s="126">
        <f ca="1">БДДСбезЛьгот!L58-БалансбезЛьгот!L19</f>
        <v>0</v>
      </c>
      <c r="M75" s="126">
        <f ca="1">БДДСбезЛьгот!M58-БалансбезЛьгот!M19</f>
        <v>0</v>
      </c>
      <c r="N75" s="126">
        <f ca="1">БДДСбезЛьгот!N58-БалансбезЛьгот!N19</f>
        <v>0</v>
      </c>
      <c r="O75" s="126">
        <f ca="1">БДДСбезЛьгот!O58-БалансбезЛьгот!O19</f>
        <v>0</v>
      </c>
      <c r="P75" s="71"/>
      <c r="Q75" s="71"/>
      <c r="R75" s="600"/>
      <c r="S75" s="71"/>
    </row>
    <row r="76" spans="1:19" ht="45">
      <c r="A76" s="221" t="str">
        <f t="array" aca="1" ref="A76" ca="1">HYPERLINK(CELL("адрес",БалансбезЛьгот!A25),"источник")</f>
        <v>источник</v>
      </c>
      <c r="B76" s="206" t="s">
        <v>574</v>
      </c>
      <c r="C76" s="146"/>
      <c r="D76" s="226">
        <f t="shared" ca="1" si="3"/>
        <v>0</v>
      </c>
      <c r="E76" s="71"/>
      <c r="F76" s="126">
        <f ca="1">БалансбезЛьгот!F25-БДРбезЛьгот!F36</f>
        <v>0</v>
      </c>
      <c r="G76" s="126">
        <f ca="1">БалансбезЛьгот!G25-БДРбезЛьгот!G36</f>
        <v>0</v>
      </c>
      <c r="H76" s="126">
        <f ca="1">БалансбезЛьгот!H25-БДРбезЛьгот!H36</f>
        <v>0</v>
      </c>
      <c r="I76" s="126">
        <f ca="1">БалансбезЛьгот!I25-БДРбезЛьгот!I36</f>
        <v>0</v>
      </c>
      <c r="J76" s="126">
        <f ca="1">БалансбезЛьгот!J25-БДРбезЛьгот!J36</f>
        <v>0</v>
      </c>
      <c r="K76" s="126">
        <f ca="1">БалансбезЛьгот!K25-БДРбезЛьгот!K36</f>
        <v>0</v>
      </c>
      <c r="L76" s="126">
        <f ca="1">БалансбезЛьгот!L25-БДРбезЛьгот!L36</f>
        <v>0</v>
      </c>
      <c r="M76" s="126">
        <f ca="1">БалансбезЛьгот!M25-БДРбезЛьгот!M36</f>
        <v>0</v>
      </c>
      <c r="N76" s="126">
        <f ca="1">БалансбезЛьгот!N25-БДРбезЛьгот!N36</f>
        <v>0</v>
      </c>
      <c r="O76" s="126">
        <f ca="1">БалансбезЛьгот!O25-БДРбезЛьгот!O36</f>
        <v>0</v>
      </c>
      <c r="P76" s="71"/>
      <c r="Q76" s="71"/>
      <c r="R76" s="600"/>
      <c r="S76" s="71"/>
    </row>
    <row r="77" spans="1:19">
      <c r="A77" s="236"/>
      <c r="B77" s="206"/>
      <c r="C77" s="146"/>
      <c r="D77" s="146"/>
      <c r="E77" s="71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71"/>
      <c r="Q77" s="71"/>
      <c r="R77" s="600"/>
      <c r="S77" s="71"/>
    </row>
    <row r="78" spans="1:19">
      <c r="A78" s="236"/>
      <c r="B78" s="206"/>
      <c r="C78" s="146"/>
      <c r="D78" s="146"/>
      <c r="E78" s="71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71"/>
      <c r="Q78" s="71"/>
      <c r="R78" s="600"/>
      <c r="S78" s="71"/>
    </row>
    <row r="79" spans="1:19">
      <c r="A79" s="236"/>
      <c r="B79" s="206"/>
      <c r="C79" s="146"/>
      <c r="D79" s="146"/>
      <c r="E79" s="71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71"/>
      <c r="Q79" s="71"/>
      <c r="R79" s="600"/>
      <c r="S79" s="71"/>
    </row>
    <row r="80" spans="1:19">
      <c r="A80" s="603" t="s">
        <v>782</v>
      </c>
      <c r="B80" s="598"/>
      <c r="C80" s="615"/>
      <c r="D80" s="615"/>
      <c r="E80" s="563"/>
      <c r="F80" s="598"/>
      <c r="G80" s="598"/>
      <c r="H80" s="598"/>
      <c r="I80" s="598"/>
      <c r="J80" s="598"/>
      <c r="K80" s="598"/>
      <c r="L80" s="598"/>
      <c r="M80" s="598"/>
      <c r="N80" s="598"/>
      <c r="O80" s="598"/>
      <c r="P80" s="71"/>
      <c r="Q80" s="71"/>
      <c r="R80" s="600"/>
      <c r="S80" s="71"/>
    </row>
    <row r="81" spans="1:15">
      <c r="A81" s="608"/>
      <c r="B81" s="206"/>
      <c r="C81" s="146"/>
      <c r="D81" s="146"/>
      <c r="E81" s="71"/>
      <c r="F81" s="126"/>
      <c r="G81" s="126"/>
      <c r="H81" s="126"/>
      <c r="I81" s="126"/>
      <c r="J81" s="126"/>
      <c r="K81" s="126"/>
      <c r="L81" s="126"/>
      <c r="M81" s="126"/>
      <c r="N81" s="126"/>
      <c r="O81" s="126"/>
    </row>
    <row r="82" spans="1:15">
      <c r="A82" s="306" t="str">
        <f t="array" aca="1" ref="A82" ca="1">HYPERLINK(CELL("адрес",Выручка!B8),"источник")</f>
        <v>источник</v>
      </c>
      <c r="B82" s="613" t="s">
        <v>785</v>
      </c>
      <c r="C82" s="616"/>
      <c r="D82" s="226">
        <f>SUM(F82:O82)</f>
        <v>1558629.0695994112</v>
      </c>
      <c r="E82" s="71"/>
      <c r="F82" s="226">
        <f>Выручка!F8</f>
        <v>110000</v>
      </c>
      <c r="G82" s="226">
        <f>Выручка!G8</f>
        <v>120640</v>
      </c>
      <c r="H82" s="226">
        <f>Выручка!H8</f>
        <v>131955.20000000001</v>
      </c>
      <c r="I82" s="226">
        <f>Выручка!I8</f>
        <v>148482.04800000004</v>
      </c>
      <c r="J82" s="226">
        <f>Выручка!J8</f>
        <v>157930.90560000006</v>
      </c>
      <c r="K82" s="226">
        <f>Выручка!K8</f>
        <v>164248.14182400005</v>
      </c>
      <c r="L82" s="226">
        <f>Выручка!L8</f>
        <v>170818.06749696005</v>
      </c>
      <c r="M82" s="226">
        <f>Выручка!M8</f>
        <v>177650.79019683844</v>
      </c>
      <c r="N82" s="226">
        <f>Выручка!N8</f>
        <v>184756.82180471197</v>
      </c>
      <c r="O82" s="226">
        <f>Выручка!O8</f>
        <v>192147.09467690048</v>
      </c>
    </row>
    <row r="83" spans="1:15">
      <c r="A83" s="306" t="str">
        <f t="array" aca="1" ref="A83" ca="1">HYPERLINK(CELL("адрес",БДР!B5),"источник")</f>
        <v>источник</v>
      </c>
      <c r="B83" s="613" t="s">
        <v>783</v>
      </c>
      <c r="C83" s="616"/>
      <c r="D83" s="226">
        <f>SUM(F83:O83)</f>
        <v>1558629.0695994112</v>
      </c>
      <c r="E83" s="71"/>
      <c r="F83" s="226">
        <f>БДР!F5</f>
        <v>110000</v>
      </c>
      <c r="G83" s="226">
        <f>БДР!G5</f>
        <v>120640</v>
      </c>
      <c r="H83" s="226">
        <f>БДР!H5</f>
        <v>131955.20000000001</v>
      </c>
      <c r="I83" s="226">
        <f>БДР!I5</f>
        <v>148482.04800000004</v>
      </c>
      <c r="J83" s="226">
        <f>БДР!J5</f>
        <v>157930.90560000006</v>
      </c>
      <c r="K83" s="226">
        <f>БДР!K5</f>
        <v>164248.14182400005</v>
      </c>
      <c r="L83" s="226">
        <f>БДР!L5</f>
        <v>170818.06749696005</v>
      </c>
      <c r="M83" s="226">
        <f>БДР!M5</f>
        <v>177650.79019683844</v>
      </c>
      <c r="N83" s="226">
        <f>БДР!N5</f>
        <v>184756.82180471197</v>
      </c>
      <c r="O83" s="226">
        <f>БДР!O5</f>
        <v>192147.09467690048</v>
      </c>
    </row>
    <row r="84" spans="1:15">
      <c r="A84" s="306"/>
      <c r="B84" s="613"/>
      <c r="C84" s="616"/>
      <c r="D84" s="226"/>
      <c r="E84" s="71"/>
      <c r="F84" s="226"/>
      <c r="G84" s="226"/>
      <c r="H84" s="226"/>
      <c r="I84" s="226"/>
      <c r="J84" s="226"/>
      <c r="K84" s="226"/>
      <c r="L84" s="226"/>
      <c r="M84" s="226"/>
      <c r="N84" s="226"/>
      <c r="O84" s="226"/>
    </row>
    <row r="85" spans="1:15">
      <c r="A85" s="306"/>
      <c r="B85" s="613"/>
      <c r="C85" s="616"/>
      <c r="D85" s="226"/>
      <c r="E85" s="71"/>
      <c r="F85" s="226"/>
      <c r="G85" s="226"/>
      <c r="H85" s="226"/>
      <c r="I85" s="226"/>
      <c r="J85" s="226"/>
      <c r="K85" s="226"/>
      <c r="L85" s="226"/>
      <c r="M85" s="226"/>
      <c r="N85" s="226"/>
      <c r="O85" s="226"/>
    </row>
    <row r="86" spans="1:15" ht="30">
      <c r="A86" s="306" t="str">
        <f t="array" aca="1" ref="A86" ca="1">HYPERLINK(CELL("адрес",БДР!B36),"источник")</f>
        <v>источник</v>
      </c>
      <c r="B86" s="613" t="s">
        <v>796</v>
      </c>
      <c r="C86" s="616"/>
      <c r="D86" s="226">
        <f ca="1">SUM(F86:O86)</f>
        <v>698605.76508965751</v>
      </c>
      <c r="E86" s="71"/>
      <c r="F86" s="226">
        <f ca="1">БДР!F36</f>
        <v>2472.3559999999961</v>
      </c>
      <c r="G86" s="226">
        <f ca="1">БДР!G36</f>
        <v>8365.6039359999995</v>
      </c>
      <c r="H86" s="226">
        <f ca="1">БДР!H36</f>
        <v>18966.899356416008</v>
      </c>
      <c r="I86" s="226">
        <f ca="1">БДР!I36</f>
        <v>35701.433144375347</v>
      </c>
      <c r="J86" s="226">
        <f ca="1">БДР!J36</f>
        <v>55697.56478862041</v>
      </c>
      <c r="K86" s="226">
        <f ca="1">БДР!K36</f>
        <v>75710.116005493575</v>
      </c>
      <c r="L86" s="226">
        <f ca="1">БДР!L36</f>
        <v>95695.871739084047</v>
      </c>
      <c r="M86" s="226">
        <f ca="1">БДР!M36</f>
        <v>115607.43150827088</v>
      </c>
      <c r="N86" s="226">
        <f ca="1">БДР!N36</f>
        <v>135392.90440762808</v>
      </c>
      <c r="O86" s="226">
        <f ca="1">БДР!O36</f>
        <v>154995.58420376907</v>
      </c>
    </row>
    <row r="87" spans="1:15" ht="30">
      <c r="A87" s="306" t="str">
        <f t="array" aca="1" ref="A87" ca="1">HYPERLINK(CELL("адрес",Баланс!B25),"источник")</f>
        <v>источник</v>
      </c>
      <c r="B87" s="613" t="s">
        <v>795</v>
      </c>
      <c r="C87" s="616"/>
      <c r="D87" s="226">
        <f ca="1">SUM(F87:O87)</f>
        <v>698605.76508965751</v>
      </c>
      <c r="E87" s="71"/>
      <c r="F87" s="226">
        <f ca="1">Баланс!F25</f>
        <v>2472.3559999999961</v>
      </c>
      <c r="G87" s="226">
        <f ca="1">Баланс!G25</f>
        <v>8365.6039359999995</v>
      </c>
      <c r="H87" s="226">
        <f ca="1">Баланс!H25</f>
        <v>18966.899356416008</v>
      </c>
      <c r="I87" s="226">
        <f ca="1">Баланс!I25</f>
        <v>35701.433144375347</v>
      </c>
      <c r="J87" s="226">
        <f ca="1">Баланс!J25</f>
        <v>55697.56478862041</v>
      </c>
      <c r="K87" s="226">
        <f ca="1">Баланс!K25</f>
        <v>75710.116005493575</v>
      </c>
      <c r="L87" s="226">
        <f ca="1">Баланс!L25</f>
        <v>95695.871739084047</v>
      </c>
      <c r="M87" s="226">
        <f ca="1">Баланс!M25</f>
        <v>115607.43150827088</v>
      </c>
      <c r="N87" s="226">
        <f ca="1">Баланс!N25</f>
        <v>135392.90440762808</v>
      </c>
      <c r="O87" s="226">
        <f ca="1">Баланс!O25</f>
        <v>154995.58420376907</v>
      </c>
    </row>
    <row r="88" spans="1:15">
      <c r="A88" s="306"/>
      <c r="B88" s="613"/>
      <c r="C88" s="616"/>
      <c r="D88" s="226"/>
      <c r="E88" s="71"/>
      <c r="F88" s="226"/>
      <c r="G88" s="226"/>
      <c r="H88" s="226"/>
      <c r="I88" s="226"/>
      <c r="J88" s="226"/>
      <c r="K88" s="226"/>
      <c r="L88" s="226"/>
      <c r="M88" s="226"/>
      <c r="N88" s="226"/>
      <c r="O88" s="226"/>
    </row>
    <row r="89" spans="1:15" ht="30">
      <c r="A89" s="306" t="str">
        <f t="array" aca="1" ref="A89" ca="1">HYPERLINK(CELL("адрес",БДДС!B28),"источник")</f>
        <v>источник</v>
      </c>
      <c r="B89" s="613" t="s">
        <v>789</v>
      </c>
      <c r="C89" s="616"/>
      <c r="D89" s="226">
        <f ca="1">SUM(F89:O89)</f>
        <v>154995.58420376919</v>
      </c>
      <c r="E89" s="71"/>
      <c r="F89" s="226">
        <f ca="1">БДДС!F28</f>
        <v>2472.3559999999998</v>
      </c>
      <c r="G89" s="226">
        <f ca="1">БДДС!G28</f>
        <v>5893.2479360000143</v>
      </c>
      <c r="H89" s="226">
        <f ca="1">БДДС!H28</f>
        <v>10601.295420416049</v>
      </c>
      <c r="I89" s="226">
        <f ca="1">БДДС!I28</f>
        <v>16734.533787959343</v>
      </c>
      <c r="J89" s="226">
        <f ca="1">БДДС!J28</f>
        <v>19996.131644245033</v>
      </c>
      <c r="K89" s="226">
        <f ca="1">БДДС!K28</f>
        <v>20012.551216873166</v>
      </c>
      <c r="L89" s="226">
        <f ca="1">БДДС!L28</f>
        <v>19985.755733590486</v>
      </c>
      <c r="M89" s="226">
        <f ca="1">БДДС!M28</f>
        <v>19911.559769186861</v>
      </c>
      <c r="N89" s="226">
        <f ca="1">БДДС!N28</f>
        <v>19785.472899357206</v>
      </c>
      <c r="O89" s="226">
        <f ca="1">БДДС!O28</f>
        <v>19602.679796141019</v>
      </c>
    </row>
    <row r="90" spans="1:15" ht="30">
      <c r="A90" s="306"/>
      <c r="B90" s="613" t="s">
        <v>788</v>
      </c>
      <c r="C90" s="616"/>
      <c r="D90" s="226">
        <f ca="1">SUM(F90:O90)</f>
        <v>154995.58420376919</v>
      </c>
      <c r="E90" s="71"/>
      <c r="F90" s="226">
        <f ca="1">КПЭ!F30</f>
        <v>2472.3559999999998</v>
      </c>
      <c r="G90" s="226">
        <f ca="1">КПЭ!G30</f>
        <v>5893.2479360000143</v>
      </c>
      <c r="H90" s="226">
        <f ca="1">КПЭ!H30</f>
        <v>10601.295420416049</v>
      </c>
      <c r="I90" s="226">
        <f ca="1">КПЭ!I30</f>
        <v>16734.533787959343</v>
      </c>
      <c r="J90" s="226">
        <f ca="1">КПЭ!J30</f>
        <v>19996.131644245033</v>
      </c>
      <c r="K90" s="226">
        <f ca="1">КПЭ!K30</f>
        <v>20012.551216873166</v>
      </c>
      <c r="L90" s="226">
        <f ca="1">КПЭ!L30</f>
        <v>19985.755733590486</v>
      </c>
      <c r="M90" s="226">
        <f ca="1">КПЭ!M30</f>
        <v>19911.559769186861</v>
      </c>
      <c r="N90" s="226">
        <f ca="1">КПЭ!N30</f>
        <v>19785.472899357206</v>
      </c>
      <c r="O90" s="226">
        <f ca="1">КПЭ!O30</f>
        <v>19602.679796141019</v>
      </c>
    </row>
    <row r="91" spans="1:15">
      <c r="A91" s="306"/>
      <c r="B91" s="613"/>
      <c r="C91" s="616"/>
      <c r="D91" s="226"/>
      <c r="E91" s="71"/>
      <c r="F91" s="226"/>
      <c r="G91" s="226"/>
      <c r="H91" s="226"/>
      <c r="I91" s="226"/>
      <c r="J91" s="226"/>
      <c r="K91" s="226"/>
      <c r="L91" s="226"/>
      <c r="M91" s="226"/>
      <c r="N91" s="226"/>
      <c r="O91" s="226"/>
    </row>
    <row r="92" spans="1:15">
      <c r="A92" s="306"/>
      <c r="B92" s="613"/>
      <c r="C92" s="616"/>
      <c r="D92" s="226"/>
      <c r="E92" s="71"/>
      <c r="F92" s="226"/>
      <c r="G92" s="226"/>
      <c r="H92" s="226"/>
      <c r="I92" s="226"/>
      <c r="J92" s="226"/>
      <c r="K92" s="226"/>
      <c r="L92" s="226"/>
      <c r="M92" s="226"/>
      <c r="N92" s="226"/>
      <c r="O92" s="226"/>
    </row>
    <row r="93" spans="1:15" ht="30">
      <c r="A93" s="306" t="str">
        <f t="array" aca="1" ref="A93" ca="1">HYPERLINK(CELL("адрес",Финансы!B24),"источник")</f>
        <v>источник</v>
      </c>
      <c r="B93" s="613" t="s">
        <v>784</v>
      </c>
      <c r="C93" s="616"/>
      <c r="D93" s="226">
        <f ca="1">SUM(F93:O93)</f>
        <v>0</v>
      </c>
      <c r="E93" s="71"/>
      <c r="F93" s="226">
        <f ca="1">Финансы!F24</f>
        <v>0</v>
      </c>
      <c r="G93" s="226">
        <f ca="1">Финансы!G24</f>
        <v>0</v>
      </c>
      <c r="H93" s="226">
        <f ca="1">Финансы!H24</f>
        <v>0</v>
      </c>
      <c r="I93" s="226">
        <f ca="1">Финансы!I24</f>
        <v>0</v>
      </c>
      <c r="J93" s="226">
        <f ca="1">Финансы!J24</f>
        <v>0</v>
      </c>
      <c r="K93" s="226">
        <f ca="1">Финансы!K24</f>
        <v>0</v>
      </c>
      <c r="L93" s="226">
        <f ca="1">Финансы!L24</f>
        <v>0</v>
      </c>
      <c r="M93" s="226">
        <f ca="1">Финансы!M24</f>
        <v>0</v>
      </c>
      <c r="N93" s="226">
        <f ca="1">Финансы!N24</f>
        <v>0</v>
      </c>
      <c r="O93" s="226">
        <f ca="1">Финансы!O24</f>
        <v>0</v>
      </c>
    </row>
    <row r="94" spans="1:15" ht="30">
      <c r="A94" s="306" t="str">
        <f t="array" aca="1" ref="A94" ca="1">HYPERLINK(CELL("адрес",Баланс!B27),"источник")</f>
        <v>источник</v>
      </c>
      <c r="B94" s="613" t="s">
        <v>786</v>
      </c>
      <c r="C94" s="616"/>
      <c r="D94" s="226">
        <f ca="1">SUM(F94:O94)</f>
        <v>0</v>
      </c>
      <c r="E94" s="71"/>
      <c r="F94" s="226">
        <f ca="1">Баланс!F27</f>
        <v>0</v>
      </c>
      <c r="G94" s="226">
        <f ca="1">Баланс!G27</f>
        <v>0</v>
      </c>
      <c r="H94" s="226">
        <f ca="1">Баланс!H27</f>
        <v>0</v>
      </c>
      <c r="I94" s="226">
        <f ca="1">Баланс!I27</f>
        <v>0</v>
      </c>
      <c r="J94" s="226">
        <f ca="1">Баланс!J27</f>
        <v>0</v>
      </c>
      <c r="K94" s="226">
        <f ca="1">Баланс!K27</f>
        <v>0</v>
      </c>
      <c r="L94" s="226">
        <f ca="1">Баланс!L27</f>
        <v>0</v>
      </c>
      <c r="M94" s="226">
        <f ca="1">Баланс!M27</f>
        <v>0</v>
      </c>
      <c r="N94" s="226">
        <f ca="1">Баланс!N27</f>
        <v>0</v>
      </c>
      <c r="O94" s="226">
        <f ca="1">Баланс!O27</f>
        <v>0</v>
      </c>
    </row>
    <row r="95" spans="1:15">
      <c r="A95" s="306"/>
      <c r="B95" s="613"/>
      <c r="C95" s="616"/>
      <c r="D95" s="226"/>
      <c r="E95" s="71"/>
      <c r="F95" s="226"/>
      <c r="G95" s="226"/>
      <c r="H95" s="226"/>
      <c r="I95" s="226"/>
      <c r="J95" s="226"/>
      <c r="K95" s="226"/>
      <c r="L95" s="226"/>
      <c r="M95" s="226"/>
      <c r="N95" s="226"/>
      <c r="O95" s="226"/>
    </row>
    <row r="96" spans="1:15">
      <c r="A96" s="306"/>
      <c r="B96" s="613"/>
      <c r="C96" s="616"/>
      <c r="D96" s="226"/>
      <c r="E96" s="71"/>
      <c r="F96" s="226"/>
      <c r="G96" s="226"/>
      <c r="H96" s="226"/>
      <c r="I96" s="226"/>
      <c r="J96" s="226"/>
      <c r="K96" s="226"/>
      <c r="L96" s="226"/>
      <c r="M96" s="226"/>
      <c r="N96" s="226"/>
      <c r="O96" s="226"/>
    </row>
    <row r="97" spans="1:15" ht="30">
      <c r="A97" s="306" t="str">
        <f t="array" aca="1" ref="A97" ca="1">HYPERLINK(CELL("адрес",Инвестиции!B18),"источник")</f>
        <v>источник</v>
      </c>
      <c r="B97" s="613" t="s">
        <v>793</v>
      </c>
      <c r="C97" s="616"/>
      <c r="D97" s="226"/>
      <c r="E97" s="71"/>
      <c r="F97" s="226">
        <f>Инвестиции!F18</f>
        <v>0</v>
      </c>
      <c r="G97" s="226">
        <f>Инвестиции!G18</f>
        <v>0</v>
      </c>
      <c r="H97" s="226">
        <f>Инвестиции!H18</f>
        <v>0</v>
      </c>
      <c r="I97" s="226">
        <f>Инвестиции!I18</f>
        <v>0</v>
      </c>
      <c r="J97" s="226">
        <f>Инвестиции!J18</f>
        <v>0</v>
      </c>
      <c r="K97" s="226">
        <f>Инвестиции!K18</f>
        <v>0</v>
      </c>
      <c r="L97" s="226">
        <f>Инвестиции!L18</f>
        <v>0</v>
      </c>
      <c r="M97" s="226">
        <f>Инвестиции!M18</f>
        <v>0</v>
      </c>
      <c r="N97" s="226">
        <f>Инвестиции!N18</f>
        <v>0</v>
      </c>
      <c r="O97" s="226">
        <f>Инвестиции!O18</f>
        <v>0</v>
      </c>
    </row>
    <row r="98" spans="1:15" ht="30">
      <c r="A98" s="306" t="str">
        <f t="array" aca="1" ref="A98" ca="1">HYPERLINK(CELL("адрес",Баланс!B7),"источник")</f>
        <v>источник</v>
      </c>
      <c r="B98" s="613" t="s">
        <v>787</v>
      </c>
      <c r="C98" s="616"/>
      <c r="D98" s="226"/>
      <c r="E98" s="71"/>
      <c r="F98" s="226">
        <f>Баланс!F7</f>
        <v>0</v>
      </c>
      <c r="G98" s="226">
        <f>Баланс!G7</f>
        <v>0</v>
      </c>
      <c r="H98" s="226">
        <f>Баланс!H7</f>
        <v>0</v>
      </c>
      <c r="I98" s="226">
        <f>Баланс!I7</f>
        <v>0</v>
      </c>
      <c r="J98" s="226">
        <f>Баланс!J7</f>
        <v>0</v>
      </c>
      <c r="K98" s="226">
        <f>Баланс!K7</f>
        <v>0</v>
      </c>
      <c r="L98" s="226">
        <f>Баланс!L7</f>
        <v>0</v>
      </c>
      <c r="M98" s="226">
        <f>Баланс!M7</f>
        <v>0</v>
      </c>
      <c r="N98" s="226">
        <f>Баланс!N7</f>
        <v>0</v>
      </c>
      <c r="O98" s="226">
        <f>Баланс!O7</f>
        <v>0</v>
      </c>
    </row>
    <row r="99" spans="1:15">
      <c r="A99" s="306"/>
      <c r="B99" s="613"/>
      <c r="C99" s="616"/>
      <c r="D99" s="226"/>
      <c r="E99" s="71"/>
      <c r="F99" s="226"/>
      <c r="G99" s="226"/>
      <c r="H99" s="226"/>
      <c r="I99" s="226"/>
      <c r="J99" s="226"/>
      <c r="K99" s="226"/>
      <c r="L99" s="226"/>
      <c r="M99" s="226"/>
      <c r="N99" s="226"/>
      <c r="O99" s="226"/>
    </row>
    <row r="100" spans="1:15">
      <c r="A100" s="306"/>
      <c r="B100" s="613"/>
      <c r="C100" s="616"/>
      <c r="D100" s="226"/>
      <c r="E100" s="71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</row>
    <row r="101" spans="1:15" ht="30">
      <c r="A101" s="306" t="str">
        <f t="array" aca="1" ref="A101" ca="1">HYPERLINK(CELL("адрес",Себестоимость!B7),"источник")</f>
        <v>источник</v>
      </c>
      <c r="B101" s="613" t="s">
        <v>790</v>
      </c>
      <c r="C101" s="616"/>
      <c r="D101" s="226">
        <f>SUM(F101:O101)</f>
        <v>619797.2775168058</v>
      </c>
      <c r="E101" s="71"/>
      <c r="F101" s="226">
        <f>Себестоимость!F7</f>
        <v>46000</v>
      </c>
      <c r="G101" s="226">
        <f>Себестоимость!G7</f>
        <v>49920</v>
      </c>
      <c r="H101" s="226">
        <f>Себестоимость!H7</f>
        <v>52998.399999999994</v>
      </c>
      <c r="I101" s="226">
        <f>Себестоимость!I7</f>
        <v>59617.792000000001</v>
      </c>
      <c r="J101" s="226">
        <f>Себестоимость!J7</f>
        <v>62002.503680000009</v>
      </c>
      <c r="K101" s="226">
        <f>Себестоимость!K7</f>
        <v>64482.603827200001</v>
      </c>
      <c r="L101" s="226">
        <f>Себестоимость!L7</f>
        <v>67061.907980288015</v>
      </c>
      <c r="M101" s="226">
        <f>Себестоимость!M7</f>
        <v>69744.384299499536</v>
      </c>
      <c r="N101" s="226">
        <f>Себестоимость!N7</f>
        <v>72534.159671479516</v>
      </c>
      <c r="O101" s="226">
        <f>Себестоимость!O7</f>
        <v>75435.526058338699</v>
      </c>
    </row>
    <row r="102" spans="1:15" ht="30">
      <c r="A102" s="306" t="str">
        <f t="array" aca="1" ref="A102" ca="1">HYPERLINK(CELL("адрес",БДР!B7),"источник")</f>
        <v>источник</v>
      </c>
      <c r="B102" s="613" t="s">
        <v>791</v>
      </c>
      <c r="C102" s="616"/>
      <c r="D102" s="226">
        <f>SUM(F102:O102)</f>
        <v>-619797.2775168058</v>
      </c>
      <c r="E102" s="71"/>
      <c r="F102" s="226">
        <f>БДР!F7</f>
        <v>-46000</v>
      </c>
      <c r="G102" s="226">
        <f>БДР!G7</f>
        <v>-49920</v>
      </c>
      <c r="H102" s="226">
        <f>БДР!H7</f>
        <v>-52998.399999999994</v>
      </c>
      <c r="I102" s="226">
        <f>БДР!I7</f>
        <v>-59617.792000000001</v>
      </c>
      <c r="J102" s="226">
        <f>БДР!J7</f>
        <v>-62002.503680000009</v>
      </c>
      <c r="K102" s="226">
        <f>БДР!K7</f>
        <v>-64482.603827200001</v>
      </c>
      <c r="L102" s="226">
        <f>БДР!L7</f>
        <v>-67061.907980288015</v>
      </c>
      <c r="M102" s="226">
        <f>БДР!M7</f>
        <v>-69744.384299499536</v>
      </c>
      <c r="N102" s="226">
        <f>БДР!N7</f>
        <v>-72534.159671479516</v>
      </c>
      <c r="O102" s="226">
        <f>БДР!O7</f>
        <v>-75435.526058338699</v>
      </c>
    </row>
    <row r="103" spans="1:15">
      <c r="A103" s="306"/>
      <c r="B103" s="613"/>
      <c r="C103" s="616"/>
      <c r="D103" s="226"/>
      <c r="E103" s="71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</row>
    <row r="104" spans="1:15">
      <c r="A104" s="306"/>
      <c r="B104" s="613"/>
      <c r="C104" s="616"/>
      <c r="D104" s="226"/>
      <c r="E104" s="71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</row>
    <row r="105" spans="1:15" ht="30">
      <c r="A105" s="306" t="str">
        <f t="array" aca="1" ref="A105" ca="1">HYPERLINK(CELL("адрес",Себестоимость!B9),"источник")</f>
        <v>источник</v>
      </c>
      <c r="B105" s="613" t="s">
        <v>823</v>
      </c>
      <c r="C105" s="616"/>
      <c r="D105" s="226">
        <f>SUM(F105:O105)</f>
        <v>619797.2775168058</v>
      </c>
      <c r="E105" s="71"/>
      <c r="F105" s="226">
        <f>Себестоимость!F9</f>
        <v>46000</v>
      </c>
      <c r="G105" s="226">
        <f>Себестоимость!G9</f>
        <v>49920</v>
      </c>
      <c r="H105" s="226">
        <f>Себестоимость!H9</f>
        <v>52998.399999999994</v>
      </c>
      <c r="I105" s="226">
        <f>Себестоимость!I9</f>
        <v>59617.792000000001</v>
      </c>
      <c r="J105" s="226">
        <f>Себестоимость!J9</f>
        <v>62002.503680000009</v>
      </c>
      <c r="K105" s="226">
        <f>Себестоимость!K9</f>
        <v>64482.603827200001</v>
      </c>
      <c r="L105" s="226">
        <f>Себестоимость!L9</f>
        <v>67061.907980288015</v>
      </c>
      <c r="M105" s="226">
        <f>Себестоимость!M9</f>
        <v>69744.384299499536</v>
      </c>
      <c r="N105" s="226">
        <f>Себестоимость!N9</f>
        <v>72534.159671479516</v>
      </c>
      <c r="O105" s="226">
        <f>Себестоимость!O9</f>
        <v>75435.526058338699</v>
      </c>
    </row>
    <row r="106" spans="1:15" ht="30">
      <c r="A106" s="306" t="str">
        <f t="array" aca="1" ref="A106" ca="1">HYPERLINK(CELL("адрес",БДДС!B12),"источник")</f>
        <v>источник</v>
      </c>
      <c r="B106" s="613" t="s">
        <v>822</v>
      </c>
      <c r="C106" s="616"/>
      <c r="D106" s="226">
        <f>SUM(F106:O106)</f>
        <v>-619797.2775168058</v>
      </c>
      <c r="E106" s="71"/>
      <c r="F106" s="226">
        <f>БДДС!F12</f>
        <v>-46000</v>
      </c>
      <c r="G106" s="226">
        <f>БДДС!G12</f>
        <v>-49920</v>
      </c>
      <c r="H106" s="226">
        <f>БДДС!H12</f>
        <v>-52998.399999999994</v>
      </c>
      <c r="I106" s="226">
        <f>БДДС!I12</f>
        <v>-59617.792000000001</v>
      </c>
      <c r="J106" s="226">
        <f>БДДС!J12</f>
        <v>-62002.503680000009</v>
      </c>
      <c r="K106" s="226">
        <f>БДДС!K12</f>
        <v>-64482.603827200001</v>
      </c>
      <c r="L106" s="226">
        <f>БДДС!L12</f>
        <v>-67061.907980288015</v>
      </c>
      <c r="M106" s="226">
        <f>БДДС!M12</f>
        <v>-69744.384299499536</v>
      </c>
      <c r="N106" s="226">
        <f>БДДС!N12</f>
        <v>-72534.159671479516</v>
      </c>
      <c r="O106" s="226">
        <f>БДДС!O12</f>
        <v>-75435.526058338699</v>
      </c>
    </row>
    <row r="107" spans="1:15">
      <c r="A107" s="306"/>
      <c r="B107" s="613"/>
      <c r="C107" s="616"/>
      <c r="D107" s="226"/>
      <c r="E107" s="71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</row>
    <row r="108" spans="1:15">
      <c r="A108" s="306"/>
      <c r="B108" s="613"/>
      <c r="C108" s="616"/>
      <c r="D108" s="226"/>
      <c r="E108" s="71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</row>
    <row r="109" spans="1:15" ht="30">
      <c r="A109" s="306" t="str">
        <f t="array" aca="1" ref="A109" ca="1">HYPERLINK(CELL("адрес",Ресурсы!B5),"источник")</f>
        <v>источник</v>
      </c>
      <c r="B109" s="613" t="s">
        <v>792</v>
      </c>
      <c r="C109" s="616"/>
      <c r="D109" s="226">
        <f>SUM(F109:O109)</f>
        <v>0</v>
      </c>
      <c r="E109" s="71"/>
      <c r="F109" s="226">
        <f>Ресурсы!F5</f>
        <v>0</v>
      </c>
      <c r="G109" s="226">
        <f>Ресурсы!G5</f>
        <v>0</v>
      </c>
      <c r="H109" s="226">
        <f>Ресурсы!H5</f>
        <v>0</v>
      </c>
      <c r="I109" s="226">
        <f>Ресурсы!I5</f>
        <v>0</v>
      </c>
      <c r="J109" s="226">
        <f>Ресурсы!J5</f>
        <v>0</v>
      </c>
      <c r="K109" s="226">
        <f>Ресурсы!K5</f>
        <v>0</v>
      </c>
      <c r="L109" s="226">
        <f>Ресурсы!L5</f>
        <v>0</v>
      </c>
      <c r="M109" s="226">
        <f>Ресурсы!M5</f>
        <v>0</v>
      </c>
      <c r="N109" s="226">
        <f>Ресурсы!N5</f>
        <v>0</v>
      </c>
      <c r="O109" s="226">
        <f>Ресурсы!O5</f>
        <v>0</v>
      </c>
    </row>
    <row r="110" spans="1:15" ht="30">
      <c r="A110" s="306" t="str">
        <f t="array" aca="1" ref="A110" ca="1">HYPERLINK(CELL("адрес",БДР!B8),"источник")</f>
        <v>источник</v>
      </c>
      <c r="B110" s="613" t="s">
        <v>791</v>
      </c>
      <c r="C110" s="616"/>
      <c r="D110" s="226">
        <f>SUM(F110:O110)</f>
        <v>0</v>
      </c>
      <c r="E110" s="71"/>
      <c r="F110" s="226">
        <f>БДР!F8</f>
        <v>0</v>
      </c>
      <c r="G110" s="226">
        <f>БДР!G8</f>
        <v>0</v>
      </c>
      <c r="H110" s="226">
        <f>БДР!H8</f>
        <v>0</v>
      </c>
      <c r="I110" s="226">
        <f>БДР!I8</f>
        <v>0</v>
      </c>
      <c r="J110" s="226">
        <f>БДР!J8</f>
        <v>0</v>
      </c>
      <c r="K110" s="226">
        <f>БДР!K8</f>
        <v>0</v>
      </c>
      <c r="L110" s="226">
        <f>БДР!L8</f>
        <v>0</v>
      </c>
      <c r="M110" s="226">
        <f>БДР!M8</f>
        <v>0</v>
      </c>
      <c r="N110" s="226">
        <f>БДР!N8</f>
        <v>0</v>
      </c>
      <c r="O110" s="226">
        <f>БДР!O8</f>
        <v>0</v>
      </c>
    </row>
    <row r="111" spans="1:15">
      <c r="A111" s="306"/>
      <c r="B111" s="613"/>
      <c r="C111" s="616"/>
      <c r="D111" s="226"/>
      <c r="E111" s="71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</row>
    <row r="112" spans="1:15">
      <c r="A112" s="306"/>
      <c r="B112" s="613"/>
      <c r="C112" s="616"/>
      <c r="D112" s="226"/>
      <c r="E112" s="71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</row>
    <row r="113" spans="1:15" ht="30">
      <c r="A113" s="306" t="str">
        <f t="array" aca="1" ref="A113" ca="1">HYPERLINK(CELL("адрес",Ресурсы!A7),"источник")</f>
        <v>источник</v>
      </c>
      <c r="B113" s="613" t="s">
        <v>825</v>
      </c>
      <c r="C113" s="616"/>
      <c r="D113" s="226">
        <f>SUM(F113:O113)</f>
        <v>0</v>
      </c>
      <c r="E113" s="71"/>
      <c r="F113" s="226">
        <f>Ресурсы!F7</f>
        <v>0</v>
      </c>
      <c r="G113" s="226">
        <f>Ресурсы!G7</f>
        <v>0</v>
      </c>
      <c r="H113" s="226">
        <f>Ресурсы!H7</f>
        <v>0</v>
      </c>
      <c r="I113" s="226">
        <f>Ресурсы!I7</f>
        <v>0</v>
      </c>
      <c r="J113" s="226">
        <f>Ресурсы!J7</f>
        <v>0</v>
      </c>
      <c r="K113" s="226">
        <f>Ресурсы!K7</f>
        <v>0</v>
      </c>
      <c r="L113" s="226">
        <f>Ресурсы!L7</f>
        <v>0</v>
      </c>
      <c r="M113" s="226">
        <f>Ресурсы!M7</f>
        <v>0</v>
      </c>
      <c r="N113" s="226">
        <f>Ресурсы!N7</f>
        <v>0</v>
      </c>
      <c r="O113" s="226">
        <f>Ресурсы!O7</f>
        <v>0</v>
      </c>
    </row>
    <row r="114" spans="1:15">
      <c r="A114" s="306" t="str">
        <f t="array" aca="1" ref="A114" ca="1">HYPERLINK(CELL("адрес",БДДС!B13),"источник")</f>
        <v>источник</v>
      </c>
      <c r="B114" s="613" t="s">
        <v>824</v>
      </c>
      <c r="C114" s="616"/>
      <c r="D114" s="226">
        <f>SUM(F114:O114)</f>
        <v>0</v>
      </c>
      <c r="E114" s="71"/>
      <c r="F114" s="226">
        <f>БДДС!F13</f>
        <v>0</v>
      </c>
      <c r="G114" s="226">
        <f>БДДС!G13</f>
        <v>0</v>
      </c>
      <c r="H114" s="226">
        <f>БДДС!H13</f>
        <v>0</v>
      </c>
      <c r="I114" s="226">
        <f>БДДС!I13</f>
        <v>0</v>
      </c>
      <c r="J114" s="226">
        <f>БДДС!J13</f>
        <v>0</v>
      </c>
      <c r="K114" s="226">
        <f>БДДС!K13</f>
        <v>0</v>
      </c>
      <c r="L114" s="226">
        <f>БДДС!L13</f>
        <v>0</v>
      </c>
      <c r="M114" s="226">
        <f>БДДС!M13</f>
        <v>0</v>
      </c>
      <c r="N114" s="226">
        <f>БДДС!N13</f>
        <v>0</v>
      </c>
      <c r="O114" s="226">
        <f>БДДС!O13</f>
        <v>0</v>
      </c>
    </row>
    <row r="115" spans="1:15">
      <c r="A115" s="306"/>
      <c r="B115" s="613"/>
      <c r="C115" s="616"/>
      <c r="D115" s="226"/>
      <c r="E115" s="71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</row>
    <row r="116" spans="1:15" ht="30">
      <c r="A116" s="306" t="str">
        <f t="array" aca="1" ref="A116" ca="1">HYPERLINK(CELL("адрес",БДР!B9),"источник")</f>
        <v>источник</v>
      </c>
      <c r="B116" s="613" t="s">
        <v>797</v>
      </c>
      <c r="C116" s="616"/>
      <c r="D116" s="226">
        <f>SUM(F116:O116)</f>
        <v>-275594.56976365787</v>
      </c>
      <c r="E116" s="71"/>
      <c r="F116" s="226">
        <f>БДР!F9</f>
        <v>-21304.799999999999</v>
      </c>
      <c r="G116" s="226">
        <f>БДР!G9</f>
        <v>-22497.868800000004</v>
      </c>
      <c r="H116" s="226">
        <f>БДР!H9</f>
        <v>-23757.749452800006</v>
      </c>
      <c r="I116" s="226">
        <f>БДР!I9</f>
        <v>-25088.183422156802</v>
      </c>
      <c r="J116" s="226">
        <f>БДР!J9</f>
        <v>-26493.121693797588</v>
      </c>
      <c r="K116" s="226">
        <f>БДР!K9</f>
        <v>-27976.736508650254</v>
      </c>
      <c r="L116" s="226">
        <f>БДР!L9</f>
        <v>-29543.433753134668</v>
      </c>
      <c r="M116" s="226">
        <f>БДР!M9</f>
        <v>-31197.866043310212</v>
      </c>
      <c r="N116" s="226">
        <f>БДР!N9</f>
        <v>-32944.946541735582</v>
      </c>
      <c r="O116" s="226">
        <f>БДР!O9</f>
        <v>-34789.863548072775</v>
      </c>
    </row>
    <row r="117" spans="1:15" ht="30">
      <c r="A117" s="306" t="str">
        <f t="array" aca="1" ref="A117" ca="1">HYPERLINK(CELL("адрес",БДР!B15),"источник")</f>
        <v>источник</v>
      </c>
      <c r="B117" s="613" t="s">
        <v>798</v>
      </c>
      <c r="C117" s="616"/>
      <c r="D117" s="226">
        <f>SUM(F117:O117)</f>
        <v>-260562.13868564012</v>
      </c>
      <c r="E117" s="71"/>
      <c r="F117" s="226">
        <f>БДР!F15</f>
        <v>-20142.72</v>
      </c>
      <c r="G117" s="226">
        <f>БДР!G15</f>
        <v>-21270.712319999999</v>
      </c>
      <c r="H117" s="226">
        <f>БДР!H15</f>
        <v>-22461.872209919999</v>
      </c>
      <c r="I117" s="226">
        <f>БДР!I15</f>
        <v>-23719.737053675519</v>
      </c>
      <c r="J117" s="226">
        <f>БДР!J15</f>
        <v>-25048.042328681353</v>
      </c>
      <c r="K117" s="226">
        <f>БДР!K15</f>
        <v>-26450.732699087512</v>
      </c>
      <c r="L117" s="226">
        <f>БДР!L15</f>
        <v>-27931.973730236408</v>
      </c>
      <c r="M117" s="226">
        <f>БДР!M15</f>
        <v>-29496.164259129648</v>
      </c>
      <c r="N117" s="226">
        <f>БДР!N15</f>
        <v>-31147.949457640912</v>
      </c>
      <c r="O117" s="226">
        <f>БДР!O15</f>
        <v>-32892.234627268801</v>
      </c>
    </row>
    <row r="118" spans="1:15">
      <c r="A118" s="306"/>
      <c r="B118" s="613" t="s">
        <v>448</v>
      </c>
      <c r="C118" s="616"/>
      <c r="D118" s="226">
        <f>SUM(F118:O118)</f>
        <v>-536156.70844929805</v>
      </c>
      <c r="E118" s="71"/>
      <c r="F118" s="226">
        <f>SUM(F116:F117)</f>
        <v>-41447.520000000004</v>
      </c>
      <c r="G118" s="226">
        <f t="shared" ref="G118:O118" si="4">SUM(G116:G117)</f>
        <v>-43768.581120000003</v>
      </c>
      <c r="H118" s="226">
        <f t="shared" si="4"/>
        <v>-46219.621662720005</v>
      </c>
      <c r="I118" s="226">
        <f t="shared" si="4"/>
        <v>-48807.920475832318</v>
      </c>
      <c r="J118" s="226">
        <f t="shared" si="4"/>
        <v>-51541.164022478944</v>
      </c>
      <c r="K118" s="226">
        <f t="shared" si="4"/>
        <v>-54427.469207737769</v>
      </c>
      <c r="L118" s="226">
        <f t="shared" si="4"/>
        <v>-57475.407483371077</v>
      </c>
      <c r="M118" s="226">
        <f t="shared" si="4"/>
        <v>-60694.03030243986</v>
      </c>
      <c r="N118" s="226">
        <f t="shared" si="4"/>
        <v>-64092.895999376495</v>
      </c>
      <c r="O118" s="226">
        <f t="shared" si="4"/>
        <v>-67682.098175341584</v>
      </c>
    </row>
    <row r="119" spans="1:15" ht="30">
      <c r="A119" s="306" t="str">
        <f t="array" aca="1" ref="A119" ca="1">HYPERLINK(CELL("адрес",Персонал!B44),"источник")</f>
        <v>источник</v>
      </c>
      <c r="B119" s="613" t="s">
        <v>799</v>
      </c>
      <c r="C119" s="616"/>
      <c r="D119" s="226">
        <f>SUM(F119:O119)</f>
        <v>536156.70844929805</v>
      </c>
      <c r="E119" s="71"/>
      <c r="F119" s="226">
        <f>Персонал!F44</f>
        <v>41447.520000000004</v>
      </c>
      <c r="G119" s="226">
        <f>Персонал!G44</f>
        <v>43768.581120000003</v>
      </c>
      <c r="H119" s="226">
        <f>Персонал!H44</f>
        <v>46219.621662720005</v>
      </c>
      <c r="I119" s="226">
        <f>Персонал!I44</f>
        <v>48807.920475832318</v>
      </c>
      <c r="J119" s="226">
        <f>Персонал!J44</f>
        <v>51541.164022478944</v>
      </c>
      <c r="K119" s="226">
        <f>Персонал!K44</f>
        <v>54427.469207737769</v>
      </c>
      <c r="L119" s="226">
        <f>Персонал!L44</f>
        <v>57475.407483371077</v>
      </c>
      <c r="M119" s="226">
        <f>Персонал!M44</f>
        <v>60694.03030243986</v>
      </c>
      <c r="N119" s="226">
        <f>Персонал!N44</f>
        <v>64092.895999376495</v>
      </c>
      <c r="O119" s="226">
        <f>Персонал!O44</f>
        <v>67682.098175341584</v>
      </c>
    </row>
    <row r="120" spans="1:15">
      <c r="A120" s="306"/>
      <c r="B120" s="613"/>
      <c r="C120" s="616"/>
      <c r="D120" s="226"/>
      <c r="E120" s="71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</row>
    <row r="121" spans="1:15">
      <c r="A121" s="306"/>
      <c r="B121" s="613"/>
      <c r="C121" s="616"/>
      <c r="D121" s="226"/>
      <c r="E121" s="71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</row>
    <row r="122" spans="1:15" ht="45">
      <c r="A122" s="306" t="str">
        <f t="array" aca="1" ref="A122" ca="1">HYPERLINK(CELL("адрес",ОбщПрРасходы!B5),"источник")</f>
        <v>источник</v>
      </c>
      <c r="B122" s="613" t="s">
        <v>831</v>
      </c>
      <c r="C122" s="616"/>
      <c r="D122" s="226">
        <f>SUM(F122:O122)</f>
        <v>84042.749860710202</v>
      </c>
      <c r="E122" s="71"/>
      <c r="F122" s="226">
        <f>ОбщПрРасходы!F5</f>
        <v>7000</v>
      </c>
      <c r="G122" s="226">
        <f>ОбщПрРасходы!G5</f>
        <v>7280</v>
      </c>
      <c r="H122" s="226">
        <f>ОбщПрРасходы!H5</f>
        <v>7571.2000000000007</v>
      </c>
      <c r="I122" s="226">
        <f>ОбщПрРасходы!I5</f>
        <v>7874.0480000000007</v>
      </c>
      <c r="J122" s="226">
        <f>ОбщПрРасходы!J5</f>
        <v>8189.0099200000004</v>
      </c>
      <c r="K122" s="226">
        <f>ОбщПрРасходы!K5</f>
        <v>8516.5703168000018</v>
      </c>
      <c r="L122" s="226">
        <f>ОбщПрРасходы!L5</f>
        <v>8857.2331294720007</v>
      </c>
      <c r="M122" s="226">
        <f>ОбщПрРасходы!M5</f>
        <v>9211.5224546508816</v>
      </c>
      <c r="N122" s="226">
        <f>ОбщПрРасходы!N5</f>
        <v>9579.9833528369163</v>
      </c>
      <c r="O122" s="226">
        <f>ОбщПрРасходы!O5</f>
        <v>9963.1826869503948</v>
      </c>
    </row>
    <row r="123" spans="1:15" ht="30">
      <c r="A123" s="306" t="str">
        <f t="array" aca="1" ref="A123" ca="1">HYPERLINK(CELL("адрес",БДР!B11),"источник")</f>
        <v>источник</v>
      </c>
      <c r="B123" s="613" t="s">
        <v>830</v>
      </c>
      <c r="C123" s="616"/>
      <c r="D123" s="226">
        <f>SUM(F123:O123)</f>
        <v>-84042.749860710202</v>
      </c>
      <c r="E123" s="71"/>
      <c r="F123" s="226">
        <f>БДР!F11</f>
        <v>-7000</v>
      </c>
      <c r="G123" s="226">
        <f>БДР!G11</f>
        <v>-7280</v>
      </c>
      <c r="H123" s="226">
        <f>БДР!H11</f>
        <v>-7571.2000000000007</v>
      </c>
      <c r="I123" s="226">
        <f>БДР!I11</f>
        <v>-7874.0480000000007</v>
      </c>
      <c r="J123" s="226">
        <f>БДР!J11</f>
        <v>-8189.0099200000004</v>
      </c>
      <c r="K123" s="226">
        <f>БДР!K11</f>
        <v>-8516.5703168000018</v>
      </c>
      <c r="L123" s="226">
        <f>БДР!L11</f>
        <v>-8857.2331294720007</v>
      </c>
      <c r="M123" s="226">
        <f>БДР!M11</f>
        <v>-9211.5224546508816</v>
      </c>
      <c r="N123" s="226">
        <f>БДР!N11</f>
        <v>-9579.9833528369163</v>
      </c>
      <c r="O123" s="226">
        <f>БДР!O11</f>
        <v>-9963.1826869503948</v>
      </c>
    </row>
    <row r="124" spans="1:15">
      <c r="A124" s="306"/>
      <c r="B124" s="613"/>
      <c r="C124" s="616"/>
      <c r="D124" s="226"/>
      <c r="E124" s="71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</row>
    <row r="125" spans="1:15">
      <c r="A125" s="306"/>
      <c r="B125" s="613"/>
      <c r="C125" s="616"/>
      <c r="D125" s="226"/>
      <c r="E125" s="71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</row>
    <row r="126" spans="1:15" ht="45">
      <c r="A126" s="306" t="str">
        <f t="array" aca="1" ref="A126" ca="1">HYPERLINK(CELL("адрес",ОбщПрРасходы!B12),"источник")</f>
        <v>источник</v>
      </c>
      <c r="B126" s="613" t="s">
        <v>829</v>
      </c>
      <c r="C126" s="616"/>
      <c r="D126" s="226">
        <f>SUM(F126:O126)</f>
        <v>84042.749860710202</v>
      </c>
      <c r="E126" s="71"/>
      <c r="F126" s="226">
        <f>ОбщПрРасходы!F12</f>
        <v>7000</v>
      </c>
      <c r="G126" s="226">
        <f>ОбщПрРасходы!G12</f>
        <v>7280</v>
      </c>
      <c r="H126" s="226">
        <f>ОбщПрРасходы!H12</f>
        <v>7571.2000000000007</v>
      </c>
      <c r="I126" s="226">
        <f>ОбщПрРасходы!I12</f>
        <v>7874.0480000000007</v>
      </c>
      <c r="J126" s="226">
        <f>ОбщПрРасходы!J12</f>
        <v>8189.0099200000004</v>
      </c>
      <c r="K126" s="226">
        <f>ОбщПрРасходы!K12</f>
        <v>8516.5703168000018</v>
      </c>
      <c r="L126" s="226">
        <f>ОбщПрРасходы!L12</f>
        <v>8857.2331294720007</v>
      </c>
      <c r="M126" s="226">
        <f>ОбщПрРасходы!M12</f>
        <v>9211.5224546508816</v>
      </c>
      <c r="N126" s="226">
        <f>ОбщПрРасходы!N12</f>
        <v>9579.9833528369163</v>
      </c>
      <c r="O126" s="226">
        <f>ОбщПрРасходы!O12</f>
        <v>9963.1826869503948</v>
      </c>
    </row>
    <row r="127" spans="1:15">
      <c r="A127" s="306" t="str">
        <f t="array" aca="1" ref="A127" ca="1">HYPERLINK(CELL("адрес",БДДС!B17),"источник")</f>
        <v>источник</v>
      </c>
      <c r="B127" s="613" t="s">
        <v>828</v>
      </c>
      <c r="C127" s="616"/>
      <c r="D127" s="226">
        <f>SUM(F127:O127)</f>
        <v>-84042.749860710202</v>
      </c>
      <c r="E127" s="71"/>
      <c r="F127" s="226">
        <f>БДДС!F17</f>
        <v>-7000</v>
      </c>
      <c r="G127" s="226">
        <f>БДДС!G17</f>
        <v>-7280</v>
      </c>
      <c r="H127" s="226">
        <f>БДДС!H17</f>
        <v>-7571.2000000000007</v>
      </c>
      <c r="I127" s="226">
        <f>БДДС!I17</f>
        <v>-7874.0480000000007</v>
      </c>
      <c r="J127" s="226">
        <f>БДДС!J17</f>
        <v>-8189.0099200000004</v>
      </c>
      <c r="K127" s="226">
        <f>БДДС!K17</f>
        <v>-8516.5703168000018</v>
      </c>
      <c r="L127" s="226">
        <f>БДДС!L17</f>
        <v>-8857.2331294720007</v>
      </c>
      <c r="M127" s="226">
        <f>БДДС!M17</f>
        <v>-9211.5224546508816</v>
      </c>
      <c r="N127" s="226">
        <f>БДДС!N17</f>
        <v>-9579.9833528369163</v>
      </c>
      <c r="O127" s="226">
        <f>БДДС!O17</f>
        <v>-9963.1826869503948</v>
      </c>
    </row>
    <row r="128" spans="1:15">
      <c r="A128" s="306"/>
      <c r="B128" s="613"/>
      <c r="C128" s="616"/>
      <c r="D128" s="226"/>
      <c r="E128" s="71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</row>
    <row r="129" spans="1:15">
      <c r="A129" s="306"/>
      <c r="B129" s="613"/>
      <c r="C129" s="616"/>
      <c r="D129" s="226"/>
      <c r="E129" s="71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</row>
    <row r="130" spans="1:15" ht="30">
      <c r="A130" s="306" t="str">
        <f t="array" aca="1" ref="A130" ca="1">HYPERLINK(CELL("адрес",АдмРасходы!B5),"источник")</f>
        <v>источник</v>
      </c>
      <c r="B130" s="613" t="s">
        <v>801</v>
      </c>
      <c r="C130" s="616"/>
      <c r="D130" s="226">
        <f>SUM(F130:O130)</f>
        <v>127264.73550336117</v>
      </c>
      <c r="E130" s="71"/>
      <c r="F130" s="226">
        <f>АдмРасходы!F5</f>
        <v>10600</v>
      </c>
      <c r="G130" s="226">
        <f>АдмРасходы!G5</f>
        <v>11024</v>
      </c>
      <c r="H130" s="226">
        <f>АдмРасходы!H5</f>
        <v>11464.96</v>
      </c>
      <c r="I130" s="226">
        <f>АдмРасходы!I5</f>
        <v>11923.558400000002</v>
      </c>
      <c r="J130" s="226">
        <f>АдмРасходы!J5</f>
        <v>12400.500736000002</v>
      </c>
      <c r="K130" s="226">
        <f>АдмРасходы!K5</f>
        <v>12896.520765440004</v>
      </c>
      <c r="L130" s="226">
        <f>АдмРасходы!L5</f>
        <v>13412.381596057603</v>
      </c>
      <c r="M130" s="226">
        <f>АдмРасходы!M5</f>
        <v>13948.876859899909</v>
      </c>
      <c r="N130" s="226">
        <f>АдмРасходы!N5</f>
        <v>14506.831934295906</v>
      </c>
      <c r="O130" s="226">
        <f>АдмРасходы!O5</f>
        <v>15087.105211667744</v>
      </c>
    </row>
    <row r="131" spans="1:15" ht="30">
      <c r="A131" s="306" t="str">
        <f t="array" aca="1" ref="A131" ca="1">HYPERLINK(CELL("адрес",БДР!B16),"источник")</f>
        <v>источник</v>
      </c>
      <c r="B131" s="613" t="s">
        <v>803</v>
      </c>
      <c r="C131" s="616"/>
      <c r="D131" s="226">
        <f>SUM(F131:O131)</f>
        <v>-127264.73550336117</v>
      </c>
      <c r="E131" s="71"/>
      <c r="F131" s="226">
        <f>БДР!F16</f>
        <v>-10600</v>
      </c>
      <c r="G131" s="226">
        <f>БДР!G16</f>
        <v>-11024</v>
      </c>
      <c r="H131" s="226">
        <f>БДР!H16</f>
        <v>-11464.96</v>
      </c>
      <c r="I131" s="226">
        <f>БДР!I16</f>
        <v>-11923.558400000002</v>
      </c>
      <c r="J131" s="226">
        <f>БДР!J16</f>
        <v>-12400.500736000002</v>
      </c>
      <c r="K131" s="226">
        <f>БДР!K16</f>
        <v>-12896.520765440004</v>
      </c>
      <c r="L131" s="226">
        <f>БДР!L16</f>
        <v>-13412.381596057603</v>
      </c>
      <c r="M131" s="226">
        <f>БДР!M16</f>
        <v>-13948.876859899909</v>
      </c>
      <c r="N131" s="226">
        <f>БДР!N16</f>
        <v>-14506.831934295906</v>
      </c>
      <c r="O131" s="226">
        <f>БДР!O16</f>
        <v>-15087.105211667744</v>
      </c>
    </row>
    <row r="132" spans="1:15">
      <c r="A132" s="306"/>
      <c r="B132" s="613"/>
      <c r="C132" s="616"/>
      <c r="D132" s="226"/>
      <c r="E132" s="71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</row>
    <row r="133" spans="1:15">
      <c r="A133" s="306"/>
      <c r="B133" s="613"/>
      <c r="C133" s="616"/>
      <c r="D133" s="226"/>
      <c r="E133" s="71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</row>
    <row r="134" spans="1:15" ht="30">
      <c r="A134" s="306" t="str">
        <f t="array" aca="1" ref="A134" ca="1">HYPERLINK(CELL("адрес",АдмРасходы!B12),"источник")</f>
        <v>источник</v>
      </c>
      <c r="B134" s="613" t="s">
        <v>827</v>
      </c>
      <c r="C134" s="616"/>
      <c r="D134" s="226">
        <f>SUM(F134:O134)</f>
        <v>127264.73550336117</v>
      </c>
      <c r="E134" s="71"/>
      <c r="F134" s="226">
        <f>АдмРасходы!F12</f>
        <v>10600</v>
      </c>
      <c r="G134" s="226">
        <f>АдмРасходы!G12</f>
        <v>11024</v>
      </c>
      <c r="H134" s="226">
        <f>АдмРасходы!H12</f>
        <v>11464.96</v>
      </c>
      <c r="I134" s="226">
        <f>АдмРасходы!I12</f>
        <v>11923.558400000002</v>
      </c>
      <c r="J134" s="226">
        <f>АдмРасходы!J12</f>
        <v>12400.500736000002</v>
      </c>
      <c r="K134" s="226">
        <f>АдмРасходы!K12</f>
        <v>12896.520765440004</v>
      </c>
      <c r="L134" s="226">
        <f>АдмРасходы!L12</f>
        <v>13412.381596057603</v>
      </c>
      <c r="M134" s="226">
        <f>АдмРасходы!M12</f>
        <v>13948.876859899909</v>
      </c>
      <c r="N134" s="226">
        <f>АдмРасходы!N12</f>
        <v>14506.831934295906</v>
      </c>
      <c r="O134" s="226">
        <f>АдмРасходы!O12</f>
        <v>15087.105211667744</v>
      </c>
    </row>
    <row r="135" spans="1:15" ht="30">
      <c r="A135" s="306" t="str">
        <f t="array" aca="1" ref="A135" ca="1">HYPERLINK(CELL("адрес",БДДС!B18),"источник")</f>
        <v>источник</v>
      </c>
      <c r="B135" s="613" t="s">
        <v>826</v>
      </c>
      <c r="C135" s="616"/>
      <c r="D135" s="226">
        <f>SUM(F135:O135)</f>
        <v>-127264.73550336117</v>
      </c>
      <c r="E135" s="71"/>
      <c r="F135" s="226">
        <f>БДДС!F18</f>
        <v>-10600</v>
      </c>
      <c r="G135" s="226">
        <f>БДДС!G18</f>
        <v>-11024</v>
      </c>
      <c r="H135" s="226">
        <f>БДДС!H18</f>
        <v>-11464.96</v>
      </c>
      <c r="I135" s="226">
        <f>БДДС!I18</f>
        <v>-11923.558400000002</v>
      </c>
      <c r="J135" s="226">
        <f>БДДС!J18</f>
        <v>-12400.500736000002</v>
      </c>
      <c r="K135" s="226">
        <f>БДДС!K18</f>
        <v>-12896.520765440004</v>
      </c>
      <c r="L135" s="226">
        <f>БДДС!L18</f>
        <v>-13412.381596057603</v>
      </c>
      <c r="M135" s="226">
        <f>БДДС!M18</f>
        <v>-13948.876859899909</v>
      </c>
      <c r="N135" s="226">
        <f>БДДС!N18</f>
        <v>-14506.831934295906</v>
      </c>
      <c r="O135" s="226">
        <f>БДДС!O18</f>
        <v>-15087.105211667744</v>
      </c>
    </row>
    <row r="136" spans="1:15">
      <c r="A136" s="306"/>
      <c r="B136" s="613"/>
      <c r="C136" s="616"/>
      <c r="D136" s="226"/>
      <c r="E136" s="71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</row>
    <row r="137" spans="1:15">
      <c r="A137" s="306"/>
      <c r="B137" s="613"/>
      <c r="C137" s="616"/>
      <c r="D137" s="226"/>
      <c r="E137" s="71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</row>
    <row r="138" spans="1:15">
      <c r="A138" s="306" t="str">
        <f t="array" aca="1" ref="A138" ca="1">HYPERLINK(CELL("адрес",Финансы!A25),"источник")</f>
        <v>источник</v>
      </c>
      <c r="B138" s="613" t="s">
        <v>800</v>
      </c>
      <c r="C138" s="616"/>
      <c r="D138" s="226">
        <f t="shared" ref="D138:D144" ca="1" si="5">SUM(F138:O138)</f>
        <v>0</v>
      </c>
      <c r="E138" s="71"/>
      <c r="F138" s="226">
        <f ca="1">Финансы!F25</f>
        <v>0</v>
      </c>
      <c r="G138" s="226">
        <f ca="1">Финансы!G25</f>
        <v>0</v>
      </c>
      <c r="H138" s="226">
        <f ca="1">Финансы!H25</f>
        <v>0</v>
      </c>
      <c r="I138" s="226">
        <f ca="1">Финансы!I25</f>
        <v>0</v>
      </c>
      <c r="J138" s="226">
        <f ca="1">Финансы!J25</f>
        <v>0</v>
      </c>
      <c r="K138" s="226">
        <f ca="1">Финансы!K25</f>
        <v>0</v>
      </c>
      <c r="L138" s="226">
        <f ca="1">Финансы!L25</f>
        <v>0</v>
      </c>
      <c r="M138" s="226">
        <f ca="1">Финансы!M25</f>
        <v>0</v>
      </c>
      <c r="N138" s="226">
        <f ca="1">Финансы!N25</f>
        <v>0</v>
      </c>
      <c r="O138" s="226">
        <f ca="1">Финансы!O25</f>
        <v>0</v>
      </c>
    </row>
    <row r="139" spans="1:15">
      <c r="A139" s="306" t="str">
        <f t="array" aca="1" ref="A139" ca="1">HYPERLINK(CELL("адрес",БДР!B20),"источник")</f>
        <v>источник</v>
      </c>
      <c r="B139" s="613" t="s">
        <v>808</v>
      </c>
      <c r="C139" s="616"/>
      <c r="D139" s="226">
        <f t="shared" ca="1" si="5"/>
        <v>0</v>
      </c>
      <c r="E139" s="71"/>
      <c r="F139" s="226">
        <f ca="1">БДР!F20</f>
        <v>0</v>
      </c>
      <c r="G139" s="226">
        <f ca="1">БДР!G20</f>
        <v>0</v>
      </c>
      <c r="H139" s="226">
        <f ca="1">БДР!H20</f>
        <v>0</v>
      </c>
      <c r="I139" s="226">
        <f ca="1">БДР!I20</f>
        <v>0</v>
      </c>
      <c r="J139" s="226">
        <f ca="1">БДР!J20</f>
        <v>0</v>
      </c>
      <c r="K139" s="226">
        <f ca="1">БДР!K20</f>
        <v>0</v>
      </c>
      <c r="L139" s="226">
        <f ca="1">БДР!L20</f>
        <v>0</v>
      </c>
      <c r="M139" s="226">
        <f ca="1">БДР!M20</f>
        <v>0</v>
      </c>
      <c r="N139" s="226">
        <f ca="1">БДР!N20</f>
        <v>0</v>
      </c>
      <c r="O139" s="226">
        <f ca="1">БДР!O20</f>
        <v>0</v>
      </c>
    </row>
    <row r="140" spans="1:15" ht="30">
      <c r="A140" s="306" t="str">
        <f t="array" aca="1" ref="A140" ca="1">HYPERLINK(CELL("адрес",БДДС!B26),"источник")</f>
        <v>источник</v>
      </c>
      <c r="B140" s="613" t="s">
        <v>807</v>
      </c>
      <c r="C140" s="616"/>
      <c r="D140" s="226">
        <f t="shared" ca="1" si="5"/>
        <v>0</v>
      </c>
      <c r="E140" s="71"/>
      <c r="F140" s="226">
        <f ca="1">БДДС!F26</f>
        <v>0</v>
      </c>
      <c r="G140" s="226">
        <f ca="1">БДДС!G26</f>
        <v>0</v>
      </c>
      <c r="H140" s="226">
        <f ca="1">БДДС!H26</f>
        <v>0</v>
      </c>
      <c r="I140" s="226">
        <f ca="1">БДДС!I26</f>
        <v>0</v>
      </c>
      <c r="J140" s="226">
        <f ca="1">БДДС!J26</f>
        <v>0</v>
      </c>
      <c r="K140" s="226">
        <f ca="1">БДДС!K26</f>
        <v>0</v>
      </c>
      <c r="L140" s="226">
        <f ca="1">БДДС!L26</f>
        <v>0</v>
      </c>
      <c r="M140" s="226">
        <f ca="1">БДДС!M26</f>
        <v>0</v>
      </c>
      <c r="N140" s="226">
        <f ca="1">БДДС!N26</f>
        <v>0</v>
      </c>
      <c r="O140" s="226">
        <f ca="1">БДДС!O26</f>
        <v>0</v>
      </c>
    </row>
    <row r="141" spans="1:15">
      <c r="A141" s="306"/>
      <c r="B141" s="613"/>
      <c r="C141" s="616"/>
      <c r="D141" s="226"/>
      <c r="E141" s="71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</row>
    <row r="142" spans="1:15">
      <c r="A142" s="306"/>
      <c r="B142" s="613"/>
      <c r="C142" s="616"/>
      <c r="D142" s="226"/>
      <c r="E142" s="71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</row>
    <row r="143" spans="1:15" ht="30">
      <c r="A143" s="306" t="str">
        <f t="array" aca="1" ref="A143" ca="1">HYPERLINK(CELL("адрес",ПрочДоходы!B7),"источник")</f>
        <v>источник</v>
      </c>
      <c r="B143" s="613" t="s">
        <v>805</v>
      </c>
      <c r="C143" s="616"/>
      <c r="D143" s="226">
        <f t="shared" si="5"/>
        <v>0</v>
      </c>
      <c r="E143" s="71"/>
      <c r="F143" s="226">
        <f>ПрочДоходы!F5</f>
        <v>0</v>
      </c>
      <c r="G143" s="226">
        <f>ПрочДоходы!G5</f>
        <v>0</v>
      </c>
      <c r="H143" s="226">
        <f>ПрочДоходы!H5</f>
        <v>0</v>
      </c>
      <c r="I143" s="226">
        <f>ПрочДоходы!I5</f>
        <v>0</v>
      </c>
      <c r="J143" s="226">
        <f>ПрочДоходы!J5</f>
        <v>0</v>
      </c>
      <c r="K143" s="226">
        <f>ПрочДоходы!K5</f>
        <v>0</v>
      </c>
      <c r="L143" s="226">
        <f>ПрочДоходы!L5</f>
        <v>0</v>
      </c>
      <c r="M143" s="226">
        <f>ПрочДоходы!M5</f>
        <v>0</v>
      </c>
      <c r="N143" s="226">
        <f>ПрочДоходы!N5</f>
        <v>0</v>
      </c>
      <c r="O143" s="226">
        <f>ПрочДоходы!O5</f>
        <v>0</v>
      </c>
    </row>
    <row r="144" spans="1:15">
      <c r="A144" s="306" t="str">
        <f t="array" aca="1" ref="A144" ca="1">HYPERLINK(CELL("адрес",БДР!B24),"источник")</f>
        <v>источник</v>
      </c>
      <c r="B144" s="613" t="s">
        <v>802</v>
      </c>
      <c r="C144" s="616"/>
      <c r="D144" s="226">
        <f t="shared" si="5"/>
        <v>0</v>
      </c>
      <c r="E144" s="71"/>
      <c r="F144" s="226">
        <f>БДР!F21</f>
        <v>0</v>
      </c>
      <c r="G144" s="226">
        <f>БДР!G21</f>
        <v>0</v>
      </c>
      <c r="H144" s="226">
        <f>БДР!H21</f>
        <v>0</v>
      </c>
      <c r="I144" s="226">
        <f>БДР!I21</f>
        <v>0</v>
      </c>
      <c r="J144" s="226">
        <f>БДР!J21</f>
        <v>0</v>
      </c>
      <c r="K144" s="226">
        <f>БДР!K21</f>
        <v>0</v>
      </c>
      <c r="L144" s="226">
        <f>БДР!L21</f>
        <v>0</v>
      </c>
      <c r="M144" s="226">
        <f>БДР!M21</f>
        <v>0</v>
      </c>
      <c r="N144" s="226">
        <f>БДР!N21</f>
        <v>0</v>
      </c>
      <c r="O144" s="226">
        <f>БДР!O21</f>
        <v>0</v>
      </c>
    </row>
    <row r="145" spans="1:15" ht="30">
      <c r="A145" s="306" t="str">
        <f t="array" aca="1" ref="A145" ca="1">HYPERLINK(CELL("адрес",БДДС!B9),"источник")</f>
        <v>источник</v>
      </c>
      <c r="B145" s="613" t="s">
        <v>817</v>
      </c>
      <c r="C145" s="616"/>
      <c r="D145" s="226">
        <f>SUM(F145:O145)</f>
        <v>0</v>
      </c>
      <c r="E145" s="71"/>
      <c r="F145" s="226">
        <f>БДДС!F9</f>
        <v>0</v>
      </c>
      <c r="G145" s="226">
        <f>БДДС!G9</f>
        <v>0</v>
      </c>
      <c r="H145" s="226">
        <f>БДДС!H9</f>
        <v>0</v>
      </c>
      <c r="I145" s="226">
        <f>БДДС!I9</f>
        <v>0</v>
      </c>
      <c r="J145" s="226">
        <f>БДДС!J9</f>
        <v>0</v>
      </c>
      <c r="K145" s="226">
        <f>БДДС!K9</f>
        <v>0</v>
      </c>
      <c r="L145" s="226">
        <f>БДДС!L9</f>
        <v>0</v>
      </c>
      <c r="M145" s="226">
        <f>БДДС!M9</f>
        <v>0</v>
      </c>
      <c r="N145" s="226">
        <f>БДДС!N9</f>
        <v>0</v>
      </c>
      <c r="O145" s="226">
        <f>БДДС!O9</f>
        <v>0</v>
      </c>
    </row>
    <row r="146" spans="1:15">
      <c r="A146" s="306"/>
      <c r="B146" s="613"/>
      <c r="C146" s="616"/>
      <c r="D146" s="226"/>
      <c r="E146" s="71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</row>
    <row r="147" spans="1:15">
      <c r="A147" s="306"/>
      <c r="B147" s="613"/>
      <c r="C147" s="616"/>
      <c r="D147" s="226"/>
      <c r="E147" s="71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</row>
    <row r="148" spans="1:15" ht="30">
      <c r="A148" s="306" t="str">
        <f t="array" aca="1" ref="A148" ca="1">HYPERLINK(CELL("адрес",ПрочРасходы!B7),"источник")</f>
        <v>источник</v>
      </c>
      <c r="B148" s="613" t="s">
        <v>806</v>
      </c>
      <c r="C148" s="616"/>
      <c r="D148" s="226">
        <f>SUM(F148:O148)</f>
        <v>28214.351738952715</v>
      </c>
      <c r="E148" s="71"/>
      <c r="F148" s="226">
        <f>ПрочРасходы!F5</f>
        <v>2350</v>
      </c>
      <c r="G148" s="226">
        <f>ПрочРасходы!G5</f>
        <v>2444</v>
      </c>
      <c r="H148" s="226">
        <f>ПрочРасходы!H5</f>
        <v>2541.7600000000002</v>
      </c>
      <c r="I148" s="226">
        <f>ПрочРасходы!I5</f>
        <v>2643.4304000000002</v>
      </c>
      <c r="J148" s="226">
        <f>ПрочРасходы!J5</f>
        <v>2749.1676160000006</v>
      </c>
      <c r="K148" s="226">
        <f>ПрочРасходы!K5</f>
        <v>2859.1343206400011</v>
      </c>
      <c r="L148" s="226">
        <f>ПрочРасходы!L5</f>
        <v>2973.499693465601</v>
      </c>
      <c r="M148" s="226">
        <f>ПрочРасходы!M5</f>
        <v>3092.4396812042251</v>
      </c>
      <c r="N148" s="226">
        <f>ПрочРасходы!N5</f>
        <v>3216.1372684523944</v>
      </c>
      <c r="O148" s="226">
        <f>ПрочРасходы!O5</f>
        <v>3344.7827591904902</v>
      </c>
    </row>
    <row r="149" spans="1:15">
      <c r="A149" s="306" t="str">
        <f t="array" aca="1" ref="A149" ca="1">HYPERLINK(CELL("адрес",БДР!B29),"источник")</f>
        <v>источник</v>
      </c>
      <c r="B149" s="613" t="s">
        <v>804</v>
      </c>
      <c r="C149" s="616"/>
      <c r="D149" s="226">
        <f>SUM(F149:O149)</f>
        <v>-28214.351738952715</v>
      </c>
      <c r="E149" s="71"/>
      <c r="F149" s="226">
        <f>БДР!F22</f>
        <v>-2350</v>
      </c>
      <c r="G149" s="226">
        <f>БДР!G22</f>
        <v>-2444</v>
      </c>
      <c r="H149" s="226">
        <f>БДР!H22</f>
        <v>-2541.7600000000002</v>
      </c>
      <c r="I149" s="226">
        <f>БДР!I22</f>
        <v>-2643.4304000000002</v>
      </c>
      <c r="J149" s="226">
        <f>БДР!J22</f>
        <v>-2749.1676160000006</v>
      </c>
      <c r="K149" s="226">
        <f>БДР!K22</f>
        <v>-2859.1343206400011</v>
      </c>
      <c r="L149" s="226">
        <f>БДР!L22</f>
        <v>-2973.499693465601</v>
      </c>
      <c r="M149" s="226">
        <f>БДР!M22</f>
        <v>-3092.4396812042251</v>
      </c>
      <c r="N149" s="226">
        <f>БДР!N22</f>
        <v>-3216.1372684523944</v>
      </c>
      <c r="O149" s="226">
        <f>БДР!O22</f>
        <v>-3344.7827591904902</v>
      </c>
    </row>
    <row r="150" spans="1:15">
      <c r="A150" s="306" t="str">
        <f t="array" aca="1" ref="A150" ca="1">HYPERLINK(CELL("адрес",БДДС!B25),"источник")</f>
        <v>источник</v>
      </c>
      <c r="B150" s="613" t="s">
        <v>818</v>
      </c>
      <c r="C150" s="616"/>
      <c r="D150" s="226">
        <f>SUM(F150:O150)</f>
        <v>-28214.351738952715</v>
      </c>
      <c r="E150" s="71"/>
      <c r="F150" s="226">
        <f>БДДС!F25</f>
        <v>-2350</v>
      </c>
      <c r="G150" s="226">
        <f>БДДС!G25</f>
        <v>-2444</v>
      </c>
      <c r="H150" s="226">
        <f>БДДС!H25</f>
        <v>-2541.7600000000002</v>
      </c>
      <c r="I150" s="226">
        <f>БДДС!I25</f>
        <v>-2643.4304000000002</v>
      </c>
      <c r="J150" s="226">
        <f>БДДС!J25</f>
        <v>-2749.1676160000006</v>
      </c>
      <c r="K150" s="226">
        <f>БДДС!K25</f>
        <v>-2859.1343206400011</v>
      </c>
      <c r="L150" s="226">
        <f>БДДС!L25</f>
        <v>-2973.499693465601</v>
      </c>
      <c r="M150" s="226">
        <f>БДДС!M25</f>
        <v>-3092.4396812042251</v>
      </c>
      <c r="N150" s="226">
        <f>БДДС!N25</f>
        <v>-3216.1372684523944</v>
      </c>
      <c r="O150" s="226">
        <f>БДДС!O25</f>
        <v>-3344.7827591904902</v>
      </c>
    </row>
    <row r="151" spans="1:15">
      <c r="A151" s="306"/>
      <c r="B151" s="613"/>
      <c r="C151" s="616"/>
      <c r="D151" s="226"/>
      <c r="E151" s="71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</row>
    <row r="152" spans="1:15">
      <c r="A152" s="306"/>
      <c r="B152" s="613"/>
      <c r="C152" s="616"/>
      <c r="D152" s="226"/>
      <c r="E152" s="71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</row>
    <row r="153" spans="1:15">
      <c r="A153" s="306" t="str">
        <f t="array" aca="1" ref="A153" ca="1">HYPERLINK(CELL("адрес",НалЗемля!A15),"источник")</f>
        <v>источник</v>
      </c>
      <c r="B153" s="613" t="s">
        <v>811</v>
      </c>
      <c r="C153" s="616"/>
      <c r="D153" s="226">
        <f>SUM(F153:O153)</f>
        <v>0</v>
      </c>
      <c r="E153" s="71"/>
      <c r="F153" s="226">
        <f>НалЗемля!F15</f>
        <v>0</v>
      </c>
      <c r="G153" s="226">
        <f>НалЗемля!G15</f>
        <v>0</v>
      </c>
      <c r="H153" s="226">
        <f>НалЗемля!H15</f>
        <v>0</v>
      </c>
      <c r="I153" s="226">
        <f>НалЗемля!I15</f>
        <v>0</v>
      </c>
      <c r="J153" s="226">
        <f>НалЗемля!J15</f>
        <v>0</v>
      </c>
      <c r="K153" s="226">
        <f>НалЗемля!K15</f>
        <v>0</v>
      </c>
      <c r="L153" s="226">
        <f>НалЗемля!L15</f>
        <v>0</v>
      </c>
      <c r="M153" s="226">
        <f>НалЗемля!M15</f>
        <v>0</v>
      </c>
      <c r="N153" s="226">
        <f>НалЗемля!N15</f>
        <v>0</v>
      </c>
      <c r="O153" s="226">
        <f>НалЗемля!O15</f>
        <v>0</v>
      </c>
    </row>
    <row r="154" spans="1:15">
      <c r="A154" s="306" t="str">
        <f t="array" aca="1" ref="A154" ca="1">HYPERLINK(CELL("адрес",БДР!B23),"источник")</f>
        <v>источник</v>
      </c>
      <c r="B154" s="613" t="s">
        <v>809</v>
      </c>
      <c r="C154" s="616"/>
      <c r="D154" s="226">
        <f>SUM(F154:O154)</f>
        <v>0</v>
      </c>
      <c r="E154" s="71"/>
      <c r="F154" s="226">
        <f>БДР!F23</f>
        <v>0</v>
      </c>
      <c r="G154" s="226">
        <f>БДР!G23</f>
        <v>0</v>
      </c>
      <c r="H154" s="226">
        <f>БДР!H23</f>
        <v>0</v>
      </c>
      <c r="I154" s="226">
        <f>БДР!I23</f>
        <v>0</v>
      </c>
      <c r="J154" s="226">
        <f>БДР!J23</f>
        <v>0</v>
      </c>
      <c r="K154" s="226">
        <f>БДР!K23</f>
        <v>0</v>
      </c>
      <c r="L154" s="226">
        <f>БДР!L23</f>
        <v>0</v>
      </c>
      <c r="M154" s="226">
        <f>БДР!M23</f>
        <v>0</v>
      </c>
      <c r="N154" s="226">
        <f>БДР!N23</f>
        <v>0</v>
      </c>
      <c r="O154" s="226">
        <f>БДР!O23</f>
        <v>0</v>
      </c>
    </row>
    <row r="155" spans="1:15" ht="30">
      <c r="A155" s="306" t="str">
        <f t="array" aca="1" ref="A155" ca="1">HYPERLINK(CELL("адрес",БДДС!B23),"источник")</f>
        <v>источник</v>
      </c>
      <c r="B155" s="613" t="s">
        <v>819</v>
      </c>
      <c r="C155" s="616"/>
      <c r="D155" s="226">
        <f>SUM(F155:O155)</f>
        <v>0</v>
      </c>
      <c r="E155" s="71"/>
      <c r="F155" s="226">
        <f>БДДС!F23</f>
        <v>0</v>
      </c>
      <c r="G155" s="226">
        <f>БДДС!G23</f>
        <v>0</v>
      </c>
      <c r="H155" s="226">
        <f>БДДС!H23</f>
        <v>0</v>
      </c>
      <c r="I155" s="226">
        <f>БДДС!I23</f>
        <v>0</v>
      </c>
      <c r="J155" s="226">
        <f>БДДС!J23</f>
        <v>0</v>
      </c>
      <c r="K155" s="226">
        <f>БДДС!K23</f>
        <v>0</v>
      </c>
      <c r="L155" s="226">
        <f>БДДС!L23</f>
        <v>0</v>
      </c>
      <c r="M155" s="226">
        <f>БДДС!M23</f>
        <v>0</v>
      </c>
      <c r="N155" s="226">
        <f>БДДС!N23</f>
        <v>0</v>
      </c>
      <c r="O155" s="226">
        <f>БДДС!O23</f>
        <v>0</v>
      </c>
    </row>
    <row r="156" spans="1:15">
      <c r="A156" s="306"/>
      <c r="B156" s="613"/>
      <c r="C156" s="616"/>
      <c r="D156" s="226"/>
      <c r="E156" s="71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</row>
    <row r="157" spans="1:15" ht="45">
      <c r="A157" s="306" t="str">
        <f t="array" aca="1" ref="A157" ca="1">HYPERLINK(CELL("адрес",НалИмущество!A19),"источник")</f>
        <v>источник</v>
      </c>
      <c r="B157" s="613" t="s">
        <v>812</v>
      </c>
      <c r="C157" s="616"/>
      <c r="D157" s="226">
        <f>SUM(F157:O157)</f>
        <v>0</v>
      </c>
      <c r="E157" s="71"/>
      <c r="F157" s="226">
        <f>НалИмущество!F19</f>
        <v>0</v>
      </c>
      <c r="G157" s="226">
        <f>НалИмущество!G19</f>
        <v>0</v>
      </c>
      <c r="H157" s="226">
        <f>НалИмущество!H19</f>
        <v>0</v>
      </c>
      <c r="I157" s="226">
        <f>НалИмущество!I19</f>
        <v>0</v>
      </c>
      <c r="J157" s="226">
        <f>НалИмущество!J19</f>
        <v>0</v>
      </c>
      <c r="K157" s="226">
        <f>НалИмущество!K19</f>
        <v>0</v>
      </c>
      <c r="L157" s="226">
        <f>НалИмущество!L19</f>
        <v>0</v>
      </c>
      <c r="M157" s="226">
        <f>НалИмущество!M19</f>
        <v>0</v>
      </c>
      <c r="N157" s="226">
        <f>НалИмущество!N19</f>
        <v>0</v>
      </c>
      <c r="O157" s="226">
        <f>НалИмущество!O19</f>
        <v>0</v>
      </c>
    </row>
    <row r="158" spans="1:15" ht="30">
      <c r="A158" s="306" t="str">
        <f t="array" aca="1" ref="A158" ca="1">HYPERLINK(CELL("адрес",БДР!B37),"источник")</f>
        <v>источник</v>
      </c>
      <c r="B158" s="613" t="s">
        <v>810</v>
      </c>
      <c r="C158" s="616"/>
      <c r="D158" s="226">
        <f>SUM(F158:O158)</f>
        <v>0</v>
      </c>
      <c r="E158" s="71"/>
      <c r="F158" s="226">
        <f>БДР!F24</f>
        <v>0</v>
      </c>
      <c r="G158" s="226">
        <f>БДР!G24</f>
        <v>0</v>
      </c>
      <c r="H158" s="226">
        <f>БДР!H24</f>
        <v>0</v>
      </c>
      <c r="I158" s="226">
        <f>БДР!I24</f>
        <v>0</v>
      </c>
      <c r="J158" s="226">
        <f>БДР!J24</f>
        <v>0</v>
      </c>
      <c r="K158" s="226">
        <f>БДР!K24</f>
        <v>0</v>
      </c>
      <c r="L158" s="226">
        <f>БДР!L24</f>
        <v>0</v>
      </c>
      <c r="M158" s="226">
        <f>БДР!M24</f>
        <v>0</v>
      </c>
      <c r="N158" s="226">
        <f>БДР!N24</f>
        <v>0</v>
      </c>
      <c r="O158" s="226">
        <f>БДР!O24</f>
        <v>0</v>
      </c>
    </row>
    <row r="159" spans="1:15" ht="30">
      <c r="A159" s="306" t="str">
        <f t="array" aca="1" ref="A159" ca="1">HYPERLINK(CELL("адрес",БДДС!B21),"источник")</f>
        <v>источник</v>
      </c>
      <c r="B159" s="613" t="s">
        <v>820</v>
      </c>
      <c r="C159" s="616"/>
      <c r="D159" s="226">
        <f>SUM(F159:O159)</f>
        <v>0</v>
      </c>
      <c r="E159" s="71"/>
      <c r="F159" s="226">
        <f>БДДС!F21</f>
        <v>0</v>
      </c>
      <c r="G159" s="226">
        <f>БДДС!G21</f>
        <v>0</v>
      </c>
      <c r="H159" s="226">
        <f>БДДС!H21</f>
        <v>0</v>
      </c>
      <c r="I159" s="226">
        <f>БДДС!I21</f>
        <v>0</v>
      </c>
      <c r="J159" s="226">
        <f>БДДС!J21</f>
        <v>0</v>
      </c>
      <c r="K159" s="226">
        <f>БДДС!K21</f>
        <v>0</v>
      </c>
      <c r="L159" s="226">
        <f>БДДС!L21</f>
        <v>0</v>
      </c>
      <c r="M159" s="226">
        <f>БДДС!M21</f>
        <v>0</v>
      </c>
      <c r="N159" s="226">
        <f>БДДС!N21</f>
        <v>0</v>
      </c>
      <c r="O159" s="226">
        <f>БДДС!O21</f>
        <v>0</v>
      </c>
    </row>
    <row r="160" spans="1:15">
      <c r="A160" s="306"/>
      <c r="B160" s="613"/>
      <c r="C160" s="616"/>
      <c r="D160" s="226"/>
      <c r="E160" s="71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</row>
    <row r="161" spans="1:15">
      <c r="A161" s="306"/>
      <c r="B161" s="613"/>
      <c r="C161" s="616"/>
      <c r="D161" s="226"/>
      <c r="E161" s="71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</row>
    <row r="162" spans="1:15" ht="30">
      <c r="A162" s="306" t="str">
        <f t="array" aca="1" ref="A162" ca="1">HYPERLINK(CELL("адрес",НалПрибыль!A27),"источник")</f>
        <v>источник</v>
      </c>
      <c r="B162" s="613" t="s">
        <v>814</v>
      </c>
      <c r="C162" s="616"/>
      <c r="D162" s="226">
        <f ca="1">SUM(F162:O162)</f>
        <v>0</v>
      </c>
      <c r="E162" s="71"/>
      <c r="F162" s="226">
        <f ca="1">НалПрибыль!F27</f>
        <v>0</v>
      </c>
      <c r="G162" s="226">
        <f ca="1">НалПрибыль!G27</f>
        <v>0</v>
      </c>
      <c r="H162" s="226">
        <f ca="1">НалПрибыль!H27</f>
        <v>0</v>
      </c>
      <c r="I162" s="226">
        <f ca="1">НалПрибыль!I27</f>
        <v>0</v>
      </c>
      <c r="J162" s="226">
        <f ca="1">НалПрибыль!J27</f>
        <v>0</v>
      </c>
      <c r="K162" s="226">
        <f ca="1">НалПрибыль!K27</f>
        <v>0</v>
      </c>
      <c r="L162" s="226">
        <f ca="1">НалПрибыль!L27</f>
        <v>0</v>
      </c>
      <c r="M162" s="226">
        <f ca="1">НалПрибыль!M27</f>
        <v>0</v>
      </c>
      <c r="N162" s="226">
        <f ca="1">НалПрибыль!N27</f>
        <v>0</v>
      </c>
      <c r="O162" s="226">
        <f ca="1">НалПрибыль!O27</f>
        <v>0</v>
      </c>
    </row>
    <row r="163" spans="1:15" ht="30">
      <c r="A163" s="306" t="str">
        <f t="array" aca="1" ref="A163" ca="1">HYPERLINK(CELL("адрес",БДР!B27),"источник")</f>
        <v>источник</v>
      </c>
      <c r="B163" s="613" t="s">
        <v>813</v>
      </c>
      <c r="C163" s="616"/>
      <c r="D163" s="226">
        <f ca="1">SUM(F163:O163)</f>
        <v>0</v>
      </c>
      <c r="E163" s="71"/>
      <c r="F163" s="226">
        <f ca="1">БДР!F27</f>
        <v>0</v>
      </c>
      <c r="G163" s="226">
        <f ca="1">БДР!G27</f>
        <v>0</v>
      </c>
      <c r="H163" s="226">
        <f ca="1">БДР!H27</f>
        <v>0</v>
      </c>
      <c r="I163" s="226">
        <f ca="1">БДР!I27</f>
        <v>0</v>
      </c>
      <c r="J163" s="226">
        <f ca="1">БДР!J27</f>
        <v>0</v>
      </c>
      <c r="K163" s="226">
        <f ca="1">БДР!K27</f>
        <v>0</v>
      </c>
      <c r="L163" s="226">
        <f ca="1">БДР!L27</f>
        <v>0</v>
      </c>
      <c r="M163" s="226">
        <f ca="1">БДР!M27</f>
        <v>0</v>
      </c>
      <c r="N163" s="226">
        <f ca="1">БДР!N27</f>
        <v>0</v>
      </c>
      <c r="O163" s="226">
        <f ca="1">БДР!O27</f>
        <v>0</v>
      </c>
    </row>
    <row r="164" spans="1:15" ht="30">
      <c r="A164" s="306" t="str">
        <f t="array" aca="1" ref="A164" ca="1">HYPERLINK(CELL("адрес",БДДС!B22),"источник")</f>
        <v>источник</v>
      </c>
      <c r="B164" s="613" t="s">
        <v>821</v>
      </c>
      <c r="C164" s="616"/>
      <c r="D164" s="226">
        <f ca="1">SUM(F164:O164)</f>
        <v>0</v>
      </c>
      <c r="E164" s="71"/>
      <c r="F164" s="226">
        <f ca="1">БДДС!F22</f>
        <v>0</v>
      </c>
      <c r="G164" s="226">
        <f ca="1">БДДС!G22</f>
        <v>0</v>
      </c>
      <c r="H164" s="226">
        <f ca="1">БДДС!H22</f>
        <v>0</v>
      </c>
      <c r="I164" s="226">
        <f ca="1">БДДС!I22</f>
        <v>0</v>
      </c>
      <c r="J164" s="226">
        <f ca="1">БДДС!J22</f>
        <v>0</v>
      </c>
      <c r="K164" s="226">
        <f ca="1">БДДС!K22</f>
        <v>0</v>
      </c>
      <c r="L164" s="226">
        <f ca="1">БДДС!L22</f>
        <v>0</v>
      </c>
      <c r="M164" s="226">
        <f ca="1">БДДС!M22</f>
        <v>0</v>
      </c>
      <c r="N164" s="226">
        <f ca="1">БДДС!N22</f>
        <v>0</v>
      </c>
      <c r="O164" s="226">
        <f ca="1">БДДС!O22</f>
        <v>0</v>
      </c>
    </row>
    <row r="165" spans="1:15">
      <c r="A165" s="306"/>
      <c r="B165" s="613"/>
      <c r="C165" s="616"/>
      <c r="D165" s="226"/>
      <c r="E165" s="71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</row>
    <row r="166" spans="1:15">
      <c r="A166" s="306"/>
      <c r="B166" s="613"/>
      <c r="C166" s="616"/>
      <c r="D166" s="226"/>
      <c r="E166" s="71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</row>
    <row r="167" spans="1:15">
      <c r="A167" s="306" t="str">
        <f t="array" aca="1" ref="A167" ca="1">HYPERLINK(CELL("адрес",Выручка!A10),"источник")</f>
        <v>источник</v>
      </c>
      <c r="B167" s="613" t="s">
        <v>816</v>
      </c>
      <c r="C167" s="616"/>
      <c r="D167" s="226">
        <f>SUM(F167:O167)</f>
        <v>1636560.5230793813</v>
      </c>
      <c r="E167" s="71"/>
      <c r="F167" s="226">
        <f>Выручка!F10</f>
        <v>115500</v>
      </c>
      <c r="G167" s="226">
        <f>Выручка!G10</f>
        <v>126672</v>
      </c>
      <c r="H167" s="226">
        <f>Выручка!H10</f>
        <v>138552.96000000002</v>
      </c>
      <c r="I167" s="226">
        <f>Выручка!I10</f>
        <v>155906.15040000004</v>
      </c>
      <c r="J167" s="226">
        <f>Выручка!J10</f>
        <v>165827.45088000005</v>
      </c>
      <c r="K167" s="226">
        <f>Выручка!K10</f>
        <v>172460.54891520005</v>
      </c>
      <c r="L167" s="226">
        <f>Выручка!L10</f>
        <v>179358.97087180807</v>
      </c>
      <c r="M167" s="226">
        <f>Выручка!M10</f>
        <v>186533.32970668035</v>
      </c>
      <c r="N167" s="226">
        <f>Выручка!N10</f>
        <v>193994.66289494757</v>
      </c>
      <c r="O167" s="226">
        <f>Выручка!O10</f>
        <v>201754.4494107455</v>
      </c>
    </row>
    <row r="168" spans="1:15">
      <c r="A168" s="306" t="str">
        <f t="array" aca="1" ref="A168" ca="1">HYPERLINK(CELL("адрес",БДДС!B8),"источник")</f>
        <v>источник</v>
      </c>
      <c r="B168" s="613" t="s">
        <v>815</v>
      </c>
      <c r="C168" s="616"/>
      <c r="D168" s="226">
        <f>SUM(F168:O168)</f>
        <v>1636560.5230793813</v>
      </c>
      <c r="E168" s="71"/>
      <c r="F168" s="226">
        <f>БДДС!F8</f>
        <v>115500</v>
      </c>
      <c r="G168" s="226">
        <f>БДДС!G8</f>
        <v>126672</v>
      </c>
      <c r="H168" s="226">
        <f>БДДС!H8</f>
        <v>138552.96000000002</v>
      </c>
      <c r="I168" s="226">
        <f>БДДС!I8</f>
        <v>155906.15040000004</v>
      </c>
      <c r="J168" s="226">
        <f>БДДС!J8</f>
        <v>165827.45088000005</v>
      </c>
      <c r="K168" s="226">
        <f>БДДС!K8</f>
        <v>172460.54891520005</v>
      </c>
      <c r="L168" s="226">
        <f>БДДС!L8</f>
        <v>179358.97087180807</v>
      </c>
      <c r="M168" s="226">
        <f>БДДС!M8</f>
        <v>186533.32970668035</v>
      </c>
      <c r="N168" s="226">
        <f>БДДС!N8</f>
        <v>193994.66289494757</v>
      </c>
      <c r="O168" s="226">
        <f>БДДС!O8</f>
        <v>201754.4494107455</v>
      </c>
    </row>
    <row r="169" spans="1:15">
      <c r="A169" s="306"/>
      <c r="B169" s="613"/>
      <c r="C169" s="616"/>
      <c r="D169" s="226"/>
      <c r="E169" s="71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</row>
    <row r="170" spans="1:15">
      <c r="A170" s="306"/>
      <c r="B170" s="613"/>
      <c r="C170" s="616"/>
      <c r="D170" s="226"/>
      <c r="E170" s="71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</row>
    <row r="171" spans="1:15" ht="30">
      <c r="A171" s="306" t="str">
        <f t="array" aca="1" ref="A171" ca="1">HYPERLINK(CELL("адрес",ПрочДоходы!A5),"источник")</f>
        <v>источник</v>
      </c>
      <c r="B171" s="613" t="s">
        <v>805</v>
      </c>
      <c r="C171" s="616"/>
      <c r="D171" s="226">
        <f>SUM(F171:O171)</f>
        <v>0</v>
      </c>
      <c r="E171" s="71"/>
      <c r="F171" s="226">
        <f>ПрочДоходы!F5</f>
        <v>0</v>
      </c>
      <c r="G171" s="226">
        <f>ПрочДоходы!G5</f>
        <v>0</v>
      </c>
      <c r="H171" s="226">
        <f>ПрочДоходы!H5</f>
        <v>0</v>
      </c>
      <c r="I171" s="226">
        <f>ПрочДоходы!I5</f>
        <v>0</v>
      </c>
      <c r="J171" s="226">
        <f>ПрочДоходы!J5</f>
        <v>0</v>
      </c>
      <c r="K171" s="226">
        <f>ПрочДоходы!K5</f>
        <v>0</v>
      </c>
      <c r="L171" s="226">
        <f>ПрочДоходы!L5</f>
        <v>0</v>
      </c>
      <c r="M171" s="226">
        <f>ПрочДоходы!M5</f>
        <v>0</v>
      </c>
      <c r="N171" s="226">
        <f>ПрочДоходы!N5</f>
        <v>0</v>
      </c>
      <c r="O171" s="226">
        <f>ПрочДоходы!O5</f>
        <v>0</v>
      </c>
    </row>
    <row r="172" spans="1:15">
      <c r="A172" s="306" t="str">
        <f t="array" aca="1" ref="A172" ca="1">HYPERLINK(CELL("адрес",БДР!B21),"источник")</f>
        <v>источник</v>
      </c>
      <c r="B172" s="613" t="s">
        <v>802</v>
      </c>
      <c r="C172" s="616"/>
      <c r="D172" s="226">
        <f>SUM(F172:O172)</f>
        <v>0</v>
      </c>
      <c r="E172" s="71"/>
      <c r="F172" s="226">
        <f>БДР!F21</f>
        <v>0</v>
      </c>
      <c r="G172" s="226">
        <f>БДР!G21</f>
        <v>0</v>
      </c>
      <c r="H172" s="226">
        <f>БДР!H21</f>
        <v>0</v>
      </c>
      <c r="I172" s="226">
        <f>БДР!I21</f>
        <v>0</v>
      </c>
      <c r="J172" s="226">
        <f>БДР!J21</f>
        <v>0</v>
      </c>
      <c r="K172" s="226">
        <f>БДР!K21</f>
        <v>0</v>
      </c>
      <c r="L172" s="226">
        <f>БДР!L21</f>
        <v>0</v>
      </c>
      <c r="M172" s="226">
        <f>БДР!M21</f>
        <v>0</v>
      </c>
      <c r="N172" s="226">
        <f>БДР!N21</f>
        <v>0</v>
      </c>
      <c r="O172" s="226">
        <f>БДР!O21</f>
        <v>0</v>
      </c>
    </row>
    <row r="173" spans="1:15" ht="30">
      <c r="A173" s="306" t="str">
        <f t="array" aca="1" ref="A173" ca="1">HYPERLINK(CELL("адрес",БДДС!B9),"источник")</f>
        <v>источник</v>
      </c>
      <c r="B173" s="613" t="s">
        <v>817</v>
      </c>
      <c r="C173" s="616"/>
      <c r="D173" s="226">
        <f>SUM(F173:O173)</f>
        <v>0</v>
      </c>
      <c r="E173" s="71"/>
      <c r="F173" s="226">
        <f>БДДС!F9</f>
        <v>0</v>
      </c>
      <c r="G173" s="226">
        <f>БДДС!G9</f>
        <v>0</v>
      </c>
      <c r="H173" s="226">
        <f>БДДС!H9</f>
        <v>0</v>
      </c>
      <c r="I173" s="226">
        <f>БДДС!I9</f>
        <v>0</v>
      </c>
      <c r="J173" s="226">
        <f>БДДС!J9</f>
        <v>0</v>
      </c>
      <c r="K173" s="226">
        <f>БДДС!K9</f>
        <v>0</v>
      </c>
      <c r="L173" s="226">
        <f>БДДС!L9</f>
        <v>0</v>
      </c>
      <c r="M173" s="226">
        <f>БДДС!M9</f>
        <v>0</v>
      </c>
      <c r="N173" s="226">
        <f>БДДС!N9</f>
        <v>0</v>
      </c>
      <c r="O173" s="226">
        <f>БДДС!O9</f>
        <v>0</v>
      </c>
    </row>
    <row r="174" spans="1:15">
      <c r="A174" s="306"/>
      <c r="B174" s="613"/>
      <c r="C174" s="616"/>
      <c r="D174" s="226"/>
      <c r="E174" s="71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</row>
    <row r="175" spans="1:15">
      <c r="A175" s="306"/>
      <c r="B175" s="613"/>
      <c r="C175" s="616"/>
      <c r="D175" s="226"/>
      <c r="E175" s="71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</row>
    <row r="176" spans="1:15" ht="30">
      <c r="A176" s="306" t="str">
        <f t="array" aca="1" ref="A176" ca="1">HYPERLINK(CELL("адрес",НДС!A16),"источник")</f>
        <v>источник</v>
      </c>
      <c r="B176" s="613" t="s">
        <v>833</v>
      </c>
      <c r="C176" s="616"/>
      <c r="D176" s="226">
        <f>SUM(F176:O176)</f>
        <v>77931.453479970573</v>
      </c>
      <c r="E176" s="71"/>
      <c r="F176" s="226">
        <f>НДС!F16</f>
        <v>5500</v>
      </c>
      <c r="G176" s="226">
        <f>НДС!G16</f>
        <v>6032</v>
      </c>
      <c r="H176" s="226">
        <f>НДС!H16</f>
        <v>6597.7600000000011</v>
      </c>
      <c r="I176" s="226">
        <f>НДС!I16</f>
        <v>7424.1024000000025</v>
      </c>
      <c r="J176" s="226">
        <f>НДС!J16</f>
        <v>7896.545280000003</v>
      </c>
      <c r="K176" s="226">
        <f>НДС!K16</f>
        <v>8212.4070912000025</v>
      </c>
      <c r="L176" s="226">
        <f>НДС!L16</f>
        <v>8540.9033748480033</v>
      </c>
      <c r="M176" s="226">
        <f>НДС!M16</f>
        <v>8882.5395098419231</v>
      </c>
      <c r="N176" s="226">
        <f>НДС!N16</f>
        <v>9237.841090235599</v>
      </c>
      <c r="O176" s="226">
        <f>НДС!O16</f>
        <v>9607.3547338450244</v>
      </c>
    </row>
    <row r="177" spans="1:15" ht="30">
      <c r="A177" s="306" t="str">
        <f t="array" aca="1" ref="A177" ca="1">HYPERLINK(CELL("адрес",БДДС!B20),"источник")</f>
        <v>источник</v>
      </c>
      <c r="B177" s="613" t="s">
        <v>832</v>
      </c>
      <c r="C177" s="616"/>
      <c r="D177" s="226">
        <f>SUM(F177:O177)</f>
        <v>-77931.453479970573</v>
      </c>
      <c r="E177" s="71"/>
      <c r="F177" s="226">
        <f>БДДС!F20</f>
        <v>-5500</v>
      </c>
      <c r="G177" s="226">
        <f>БДДС!G20</f>
        <v>-6032</v>
      </c>
      <c r="H177" s="226">
        <f>БДДС!H20</f>
        <v>-6597.7600000000011</v>
      </c>
      <c r="I177" s="226">
        <f>БДДС!I20</f>
        <v>-7424.1024000000025</v>
      </c>
      <c r="J177" s="226">
        <f>БДДС!J20</f>
        <v>-7896.545280000003</v>
      </c>
      <c r="K177" s="226">
        <f>БДДС!K20</f>
        <v>-8212.4070912000025</v>
      </c>
      <c r="L177" s="226">
        <f>БДДС!L20</f>
        <v>-8540.9033748480033</v>
      </c>
      <c r="M177" s="226">
        <f>БДДС!M20</f>
        <v>-8882.5395098419231</v>
      </c>
      <c r="N177" s="226">
        <f>БДДС!N20</f>
        <v>-9237.841090235599</v>
      </c>
      <c r="O177" s="226">
        <f>БДДС!O20</f>
        <v>-9607.3547338450244</v>
      </c>
    </row>
    <row r="178" spans="1:15">
      <c r="A178" s="306"/>
      <c r="B178" s="613"/>
      <c r="C178" s="616"/>
      <c r="D178" s="226"/>
      <c r="E178" s="71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</row>
    <row r="179" spans="1:15">
      <c r="A179" s="306"/>
      <c r="B179" s="613"/>
      <c r="C179" s="616"/>
      <c r="D179" s="226"/>
      <c r="E179" s="71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</row>
    <row r="180" spans="1:15" ht="30">
      <c r="A180" s="306" t="str">
        <f t="array" aca="1" ref="A180" ca="1">HYPERLINK(CELL("адрес",Инвестиции!A8),"источник")</f>
        <v>источник</v>
      </c>
      <c r="B180" s="613" t="s">
        <v>835</v>
      </c>
      <c r="C180" s="616"/>
      <c r="D180" s="226">
        <f>SUM(F180:O180)</f>
        <v>0</v>
      </c>
      <c r="E180" s="71"/>
      <c r="F180" s="226">
        <f>Инвестиции!F8</f>
        <v>0</v>
      </c>
      <c r="G180" s="226">
        <f>Инвестиции!G8</f>
        <v>0</v>
      </c>
      <c r="H180" s="226">
        <f>Инвестиции!H8</f>
        <v>0</v>
      </c>
      <c r="I180" s="226">
        <f>Инвестиции!I8</f>
        <v>0</v>
      </c>
      <c r="J180" s="226">
        <f>Инвестиции!J8</f>
        <v>0</v>
      </c>
      <c r="K180" s="226">
        <f>Инвестиции!K8</f>
        <v>0</v>
      </c>
      <c r="L180" s="226">
        <f>Инвестиции!L8</f>
        <v>0</v>
      </c>
      <c r="M180" s="226">
        <f>Инвестиции!M8</f>
        <v>0</v>
      </c>
      <c r="N180" s="226">
        <f>Инвестиции!N8</f>
        <v>0</v>
      </c>
      <c r="O180" s="226">
        <f>Инвестиции!O8</f>
        <v>0</v>
      </c>
    </row>
    <row r="181" spans="1:15" ht="30">
      <c r="A181" s="306" t="str">
        <f t="array" aca="1" ref="A181" ca="1">HYPERLINK(CELL("адрес",БДДС!B33),"источник")</f>
        <v>источник</v>
      </c>
      <c r="B181" s="613" t="s">
        <v>834</v>
      </c>
      <c r="C181" s="616"/>
      <c r="D181" s="226">
        <f>SUM(F181:O181)</f>
        <v>0</v>
      </c>
      <c r="E181" s="71"/>
      <c r="F181" s="226">
        <f>БДДС!F33</f>
        <v>0</v>
      </c>
      <c r="G181" s="226">
        <f>БДДС!G33</f>
        <v>0</v>
      </c>
      <c r="H181" s="226">
        <f>БДДС!H33</f>
        <v>0</v>
      </c>
      <c r="I181" s="226">
        <f>БДДС!I33</f>
        <v>0</v>
      </c>
      <c r="J181" s="226">
        <f>БДДС!J33</f>
        <v>0</v>
      </c>
      <c r="K181" s="226">
        <f>БДДС!K33</f>
        <v>0</v>
      </c>
      <c r="L181" s="226">
        <f>БДДС!L33</f>
        <v>0</v>
      </c>
      <c r="M181" s="226">
        <f>БДДС!M33</f>
        <v>0</v>
      </c>
      <c r="N181" s="226">
        <f>БДДС!N33</f>
        <v>0</v>
      </c>
      <c r="O181" s="226">
        <f>БДДС!O33</f>
        <v>0</v>
      </c>
    </row>
    <row r="182" spans="1:15">
      <c r="A182" s="306"/>
      <c r="B182" s="613"/>
      <c r="C182" s="616"/>
      <c r="D182" s="226"/>
      <c r="E182" s="71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</row>
    <row r="183" spans="1:15">
      <c r="A183" s="306"/>
      <c r="B183" s="613"/>
      <c r="C183" s="616"/>
      <c r="D183" s="226"/>
      <c r="E183" s="71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</row>
    <row r="184" spans="1:15" ht="30">
      <c r="A184" s="306" t="str">
        <f t="array" aca="1" ref="A184" ca="1">HYPERLINK(CELL("адрес",Инвестиции!A7),"источник")</f>
        <v>источник</v>
      </c>
      <c r="B184" s="613" t="s">
        <v>837</v>
      </c>
      <c r="C184" s="616"/>
      <c r="D184" s="226">
        <f>SUM(F184:O184)</f>
        <v>0</v>
      </c>
      <c r="E184" s="71"/>
      <c r="F184" s="226">
        <f>Инвестиции!F7</f>
        <v>0</v>
      </c>
      <c r="G184" s="226">
        <f>Инвестиции!G7</f>
        <v>0</v>
      </c>
      <c r="H184" s="226">
        <f>Инвестиции!H7</f>
        <v>0</v>
      </c>
      <c r="I184" s="226">
        <f>Инвестиции!I7</f>
        <v>0</v>
      </c>
      <c r="J184" s="226">
        <f>Инвестиции!J7</f>
        <v>0</v>
      </c>
      <c r="K184" s="226">
        <f>Инвестиции!K7</f>
        <v>0</v>
      </c>
      <c r="L184" s="226">
        <f>Инвестиции!L7</f>
        <v>0</v>
      </c>
      <c r="M184" s="226">
        <f>Инвестиции!M7</f>
        <v>0</v>
      </c>
      <c r="N184" s="226">
        <f>Инвестиции!N7</f>
        <v>0</v>
      </c>
      <c r="O184" s="226">
        <f>Инвестиции!O7</f>
        <v>0</v>
      </c>
    </row>
    <row r="185" spans="1:15">
      <c r="A185" s="306" t="str">
        <f t="array" aca="1" ref="A185" ca="1">HYPERLINK(CELL("адрес",БДДС!B36),"источник")</f>
        <v>источник</v>
      </c>
      <c r="B185" s="613" t="s">
        <v>836</v>
      </c>
      <c r="C185" s="616"/>
      <c r="D185" s="226">
        <f>SUM(F185:O185)</f>
        <v>0</v>
      </c>
      <c r="E185" s="71"/>
      <c r="F185" s="226">
        <f>БДДС!F36</f>
        <v>0</v>
      </c>
      <c r="G185" s="226">
        <f>БДДС!G36</f>
        <v>0</v>
      </c>
      <c r="H185" s="226">
        <f>БДДС!H36</f>
        <v>0</v>
      </c>
      <c r="I185" s="226">
        <f>БДДС!I36</f>
        <v>0</v>
      </c>
      <c r="J185" s="226">
        <f>БДДС!J36</f>
        <v>0</v>
      </c>
      <c r="K185" s="226">
        <f>БДДС!K36</f>
        <v>0</v>
      </c>
      <c r="L185" s="226">
        <f>БДДС!L36</f>
        <v>0</v>
      </c>
      <c r="M185" s="226">
        <f>БДДС!M36</f>
        <v>0</v>
      </c>
      <c r="N185" s="226">
        <f>БДДС!N36</f>
        <v>0</v>
      </c>
      <c r="O185" s="226">
        <f>БДДС!O36</f>
        <v>0</v>
      </c>
    </row>
    <row r="186" spans="1:15">
      <c r="A186" s="306"/>
      <c r="B186" s="613"/>
      <c r="C186" s="616"/>
      <c r="D186" s="226"/>
      <c r="E186" s="71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</row>
    <row r="187" spans="1:15">
      <c r="A187" s="306"/>
      <c r="B187" s="613"/>
      <c r="C187" s="616"/>
      <c r="D187" s="226"/>
      <c r="E187" s="71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</row>
    <row r="188" spans="1:15" ht="45">
      <c r="A188" s="306" t="str">
        <f t="array" aca="1" ref="A188" ca="1">HYPERLINK(CELL("адрес",Финансы!A7),"источник")</f>
        <v>источник</v>
      </c>
      <c r="B188" s="613" t="s">
        <v>839</v>
      </c>
      <c r="C188" s="616"/>
      <c r="D188" s="226">
        <f>SUM(F188:O188)</f>
        <v>20000</v>
      </c>
      <c r="E188" s="71"/>
      <c r="F188" s="226">
        <f>Финансы!F7</f>
        <v>10000</v>
      </c>
      <c r="G188" s="226">
        <f>Финансы!G7</f>
        <v>0</v>
      </c>
      <c r="H188" s="226">
        <f>Финансы!H7</f>
        <v>0</v>
      </c>
      <c r="I188" s="226">
        <f>Финансы!I7</f>
        <v>0</v>
      </c>
      <c r="J188" s="226">
        <f>Финансы!J7</f>
        <v>0</v>
      </c>
      <c r="K188" s="226">
        <f>Финансы!K7</f>
        <v>10000</v>
      </c>
      <c r="L188" s="226">
        <f>Финансы!L7</f>
        <v>0</v>
      </c>
      <c r="M188" s="226">
        <f>Финансы!M7</f>
        <v>0</v>
      </c>
      <c r="N188" s="226">
        <f>Финансы!N7</f>
        <v>0</v>
      </c>
      <c r="O188" s="226">
        <f>Финансы!O7</f>
        <v>0</v>
      </c>
    </row>
    <row r="189" spans="1:15" ht="30">
      <c r="A189" s="306" t="str">
        <f t="array" aca="1" ref="A189" ca="1">HYPERLINK(CELL("адрес",БДДС!B43),"источник")</f>
        <v>источник</v>
      </c>
      <c r="B189" s="613" t="s">
        <v>838</v>
      </c>
      <c r="C189" s="616"/>
      <c r="D189" s="226">
        <f>SUM(F189:O189)</f>
        <v>20000</v>
      </c>
      <c r="E189" s="71"/>
      <c r="F189" s="226">
        <f>БДДС!F43</f>
        <v>10000</v>
      </c>
      <c r="G189" s="226">
        <f>БДДС!G43</f>
        <v>0</v>
      </c>
      <c r="H189" s="226">
        <f>БДДС!H43</f>
        <v>0</v>
      </c>
      <c r="I189" s="226">
        <f>БДДС!I43</f>
        <v>0</v>
      </c>
      <c r="J189" s="226">
        <f>БДДС!J43</f>
        <v>0</v>
      </c>
      <c r="K189" s="226">
        <f>БДДС!K43</f>
        <v>10000</v>
      </c>
      <c r="L189" s="226">
        <f>БДДС!L43</f>
        <v>0</v>
      </c>
      <c r="M189" s="226">
        <f>БДДС!M43</f>
        <v>0</v>
      </c>
      <c r="N189" s="226">
        <f>БДДС!N43</f>
        <v>0</v>
      </c>
      <c r="O189" s="226">
        <f>БДДС!O43</f>
        <v>0</v>
      </c>
    </row>
    <row r="190" spans="1:15">
      <c r="A190" s="306"/>
      <c r="B190" s="613"/>
      <c r="C190" s="616"/>
      <c r="D190" s="226"/>
      <c r="E190" s="71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</row>
    <row r="191" spans="1:15">
      <c r="A191" s="306"/>
      <c r="B191" s="613"/>
      <c r="C191" s="616"/>
      <c r="D191" s="226"/>
      <c r="E191" s="71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</row>
    <row r="192" spans="1:15" ht="30">
      <c r="A192" s="306" t="str">
        <f t="array" aca="1" ref="A192" ca="1">HYPERLINK(CELL("адрес",Финансы!A22),"источник")</f>
        <v>источник</v>
      </c>
      <c r="B192" s="613" t="s">
        <v>841</v>
      </c>
      <c r="C192" s="616"/>
      <c r="D192" s="226">
        <f ca="1">SUM(F192:O192)</f>
        <v>0</v>
      </c>
      <c r="E192" s="71"/>
      <c r="F192" s="226">
        <f ca="1">Финансы!F22</f>
        <v>0</v>
      </c>
      <c r="G192" s="226">
        <f ca="1">Финансы!G22</f>
        <v>0</v>
      </c>
      <c r="H192" s="226">
        <f ca="1">Финансы!H22</f>
        <v>0</v>
      </c>
      <c r="I192" s="226">
        <f ca="1">Финансы!I22</f>
        <v>0</v>
      </c>
      <c r="J192" s="226">
        <f ca="1">Финансы!J22</f>
        <v>0</v>
      </c>
      <c r="K192" s="226">
        <f ca="1">Финансы!K22</f>
        <v>0</v>
      </c>
      <c r="L192" s="226">
        <f ca="1">Финансы!L22</f>
        <v>0</v>
      </c>
      <c r="M192" s="226">
        <f ca="1">Финансы!M22</f>
        <v>0</v>
      </c>
      <c r="N192" s="226">
        <f ca="1">Финансы!N22</f>
        <v>0</v>
      </c>
      <c r="O192" s="226">
        <f ca="1">Финансы!O22</f>
        <v>0</v>
      </c>
    </row>
    <row r="193" spans="1:15" ht="30">
      <c r="A193" s="306" t="str">
        <f t="array" aca="1" ref="A193" ca="1">HYPERLINK(CELL("адрес",БДДС!B46),"источник")</f>
        <v>источник</v>
      </c>
      <c r="B193" s="613" t="s">
        <v>840</v>
      </c>
      <c r="C193" s="616"/>
      <c r="D193" s="226">
        <f>SUM(F193:O193)</f>
        <v>0</v>
      </c>
      <c r="E193" s="71"/>
      <c r="F193" s="226">
        <f>БДДС!F46</f>
        <v>0</v>
      </c>
      <c r="G193" s="226">
        <f>БДДС!G46</f>
        <v>0</v>
      </c>
      <c r="H193" s="226">
        <f>БДДС!H46</f>
        <v>0</v>
      </c>
      <c r="I193" s="226">
        <f>БДДС!I46</f>
        <v>0</v>
      </c>
      <c r="J193" s="226">
        <f>БДДС!J46</f>
        <v>0</v>
      </c>
      <c r="K193" s="226">
        <f>БДДС!K46</f>
        <v>0</v>
      </c>
      <c r="L193" s="226">
        <f>БДДС!L46</f>
        <v>0</v>
      </c>
      <c r="M193" s="226">
        <f>БДДС!M46</f>
        <v>0</v>
      </c>
      <c r="N193" s="226">
        <f>БДДС!N46</f>
        <v>0</v>
      </c>
      <c r="O193" s="226">
        <f>БДДС!O46</f>
        <v>0</v>
      </c>
    </row>
    <row r="194" spans="1:15">
      <c r="A194" s="306"/>
      <c r="B194" s="613"/>
      <c r="C194" s="616"/>
      <c r="D194" s="226"/>
      <c r="E194" s="71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</row>
    <row r="195" spans="1:15">
      <c r="A195" s="306"/>
      <c r="B195" s="613"/>
      <c r="C195" s="616"/>
      <c r="D195" s="226"/>
      <c r="E195" s="71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</row>
    <row r="196" spans="1:15" ht="30">
      <c r="A196" s="306" t="str">
        <f t="array" aca="1" ref="A196" ca="1">HYPERLINK(CELL("адрес",Финансы!A23),"источник")</f>
        <v>источник</v>
      </c>
      <c r="B196" s="613" t="s">
        <v>843</v>
      </c>
      <c r="C196" s="616"/>
      <c r="D196" s="226">
        <f ca="1">SUM(F196:O196)</f>
        <v>0</v>
      </c>
      <c r="E196" s="71"/>
      <c r="F196" s="226">
        <f ca="1">Финансы!F23</f>
        <v>0</v>
      </c>
      <c r="G196" s="226">
        <f ca="1">Финансы!G23</f>
        <v>0</v>
      </c>
      <c r="H196" s="226">
        <f ca="1">Финансы!H23</f>
        <v>0</v>
      </c>
      <c r="I196" s="226">
        <f ca="1">Финансы!I23</f>
        <v>0</v>
      </c>
      <c r="J196" s="226">
        <f ca="1">Финансы!J23</f>
        <v>0</v>
      </c>
      <c r="K196" s="226">
        <f ca="1">Финансы!K23</f>
        <v>0</v>
      </c>
      <c r="L196" s="226">
        <f ca="1">Финансы!L23</f>
        <v>0</v>
      </c>
      <c r="M196" s="226">
        <f ca="1">Финансы!M23</f>
        <v>0</v>
      </c>
      <c r="N196" s="226">
        <f ca="1">Финансы!N23</f>
        <v>0</v>
      </c>
      <c r="O196" s="226">
        <f ca="1">Финансы!O23</f>
        <v>0</v>
      </c>
    </row>
    <row r="197" spans="1:15" ht="30">
      <c r="A197" s="306" t="str">
        <f t="array" aca="1" ref="A197" ca="1">HYPERLINK(CELL("адрес",БДДС!B49),"источник")</f>
        <v>источник</v>
      </c>
      <c r="B197" s="613" t="s">
        <v>842</v>
      </c>
      <c r="C197" s="616"/>
      <c r="D197" s="226">
        <f>SUM(F197:O197)</f>
        <v>0</v>
      </c>
      <c r="E197" s="71"/>
      <c r="F197" s="226">
        <f>БДДС!F49</f>
        <v>0</v>
      </c>
      <c r="G197" s="226">
        <f>БДДС!G49</f>
        <v>0</v>
      </c>
      <c r="H197" s="226">
        <f>БДДС!H49</f>
        <v>0</v>
      </c>
      <c r="I197" s="226">
        <f>БДДС!I49</f>
        <v>0</v>
      </c>
      <c r="J197" s="226">
        <f>БДДС!J49</f>
        <v>0</v>
      </c>
      <c r="K197" s="226">
        <f>БДДС!K49</f>
        <v>0</v>
      </c>
      <c r="L197" s="226">
        <f>БДДС!L49</f>
        <v>0</v>
      </c>
      <c r="M197" s="226">
        <f>БДДС!M49</f>
        <v>0</v>
      </c>
      <c r="N197" s="226">
        <f>БДДС!N49</f>
        <v>0</v>
      </c>
      <c r="O197" s="226">
        <f>БДДС!O49</f>
        <v>0</v>
      </c>
    </row>
    <row r="198" spans="1:15">
      <c r="A198" s="306"/>
      <c r="B198" s="613"/>
      <c r="C198" s="616"/>
      <c r="D198" s="226"/>
      <c r="E198" s="71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</row>
    <row r="199" spans="1:15">
      <c r="A199" s="306"/>
      <c r="B199" s="613"/>
      <c r="C199" s="616"/>
      <c r="D199" s="226"/>
      <c r="E199" s="71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</row>
    <row r="200" spans="1:15">
      <c r="A200" s="306"/>
      <c r="B200" s="613"/>
      <c r="C200" s="616"/>
      <c r="D200" s="226"/>
      <c r="E200" s="71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</row>
    <row r="201" spans="1:15">
      <c r="A201" s="306"/>
      <c r="B201" s="613"/>
      <c r="C201" s="616"/>
      <c r="D201" s="226"/>
      <c r="E201" s="71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</row>
    <row r="202" spans="1:15">
      <c r="A202" s="306"/>
      <c r="B202" s="613"/>
      <c r="C202" s="616"/>
      <c r="D202" s="226"/>
      <c r="E202" s="71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</row>
    <row r="203" spans="1:15">
      <c r="A203" s="306"/>
      <c r="B203" s="613"/>
      <c r="C203" s="616"/>
      <c r="D203" s="226"/>
      <c r="E203" s="71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</row>
    <row r="204" spans="1:15">
      <c r="A204" s="306"/>
      <c r="B204" s="613"/>
      <c r="C204" s="616"/>
      <c r="D204" s="226"/>
      <c r="E204" s="71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</row>
    <row r="205" spans="1:15">
      <c r="A205" s="306"/>
      <c r="B205" s="613"/>
      <c r="C205" s="616"/>
      <c r="D205" s="226"/>
      <c r="E205" s="71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</row>
    <row r="206" spans="1:15">
      <c r="A206" s="306"/>
      <c r="B206" s="613"/>
      <c r="C206" s="616"/>
      <c r="D206" s="226"/>
      <c r="E206" s="71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</row>
    <row r="207" spans="1:15">
      <c r="A207" s="306"/>
      <c r="B207" s="613"/>
      <c r="C207" s="616"/>
      <c r="D207" s="226"/>
      <c r="E207" s="71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</row>
    <row r="208" spans="1:15">
      <c r="A208" s="306"/>
      <c r="B208" s="613"/>
      <c r="C208" s="616"/>
      <c r="D208" s="226"/>
      <c r="E208" s="71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</row>
    <row r="209" spans="1:15">
      <c r="A209" s="306"/>
      <c r="B209" s="613"/>
      <c r="C209" s="616"/>
      <c r="D209" s="226"/>
      <c r="E209" s="71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</row>
    <row r="210" spans="1:15">
      <c r="A210" s="306"/>
      <c r="B210" s="613"/>
      <c r="C210" s="616"/>
      <c r="D210" s="226"/>
      <c r="E210" s="71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</row>
    <row r="211" spans="1:15">
      <c r="A211" s="306"/>
      <c r="B211" s="613"/>
      <c r="C211" s="616"/>
      <c r="D211" s="226"/>
      <c r="E211" s="71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</row>
    <row r="212" spans="1:15">
      <c r="A212" s="306"/>
      <c r="B212" s="613"/>
      <c r="C212" s="616"/>
      <c r="D212" s="226"/>
      <c r="E212" s="71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</row>
    <row r="213" spans="1:15">
      <c r="A213" s="306"/>
      <c r="B213" s="613"/>
      <c r="C213" s="616"/>
      <c r="D213" s="226"/>
      <c r="E213" s="71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</row>
    <row r="214" spans="1:15">
      <c r="A214" s="306"/>
      <c r="B214" s="613"/>
      <c r="C214" s="616"/>
      <c r="D214" s="226"/>
      <c r="E214" s="71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</row>
    <row r="215" spans="1:15">
      <c r="A215" s="306"/>
      <c r="B215" s="613"/>
      <c r="C215" s="616"/>
      <c r="D215" s="226"/>
      <c r="E215" s="71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</row>
    <row r="216" spans="1:15">
      <c r="A216" s="306"/>
      <c r="B216" s="613"/>
      <c r="C216" s="616"/>
      <c r="D216" s="226"/>
      <c r="E216" s="71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</row>
    <row r="217" spans="1:15">
      <c r="A217" s="306"/>
      <c r="B217" s="613"/>
      <c r="C217" s="616"/>
      <c r="D217" s="226"/>
      <c r="E217" s="71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</row>
    <row r="218" spans="1:15">
      <c r="A218" s="306"/>
      <c r="B218" s="613"/>
      <c r="C218" s="616"/>
      <c r="D218" s="226"/>
      <c r="E218" s="71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</row>
    <row r="219" spans="1:15">
      <c r="A219" s="306"/>
      <c r="B219" s="613"/>
      <c r="C219" s="616"/>
      <c r="D219" s="226"/>
      <c r="E219" s="71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</row>
    <row r="220" spans="1:15">
      <c r="A220" s="306"/>
      <c r="B220" s="613"/>
      <c r="C220" s="616"/>
      <c r="D220" s="226"/>
      <c r="E220" s="71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</row>
    <row r="221" spans="1:15">
      <c r="A221" s="306"/>
      <c r="B221" s="613"/>
      <c r="C221" s="616"/>
      <c r="D221" s="226"/>
      <c r="E221" s="71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</row>
    <row r="222" spans="1:15">
      <c r="A222" s="306"/>
      <c r="B222" s="613"/>
      <c r="C222" s="616"/>
      <c r="D222" s="226"/>
      <c r="E222" s="71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</row>
    <row r="223" spans="1:15">
      <c r="A223" s="306"/>
      <c r="B223" s="613"/>
      <c r="C223" s="616"/>
      <c r="D223" s="226"/>
      <c r="E223" s="71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</row>
    <row r="224" spans="1:15">
      <c r="A224" s="306"/>
      <c r="B224" s="613"/>
      <c r="C224" s="616"/>
      <c r="D224" s="226"/>
      <c r="E224" s="71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</row>
    <row r="225" spans="1:15">
      <c r="A225" s="306"/>
      <c r="B225" s="613"/>
      <c r="C225" s="616"/>
      <c r="D225" s="226"/>
      <c r="E225" s="71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</row>
    <row r="226" spans="1:15">
      <c r="A226" s="306"/>
      <c r="B226" s="613"/>
      <c r="C226" s="616"/>
      <c r="D226" s="226"/>
      <c r="E226" s="71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</row>
    <row r="227" spans="1:15">
      <c r="A227" s="306"/>
      <c r="B227" s="613"/>
      <c r="C227" s="616"/>
      <c r="D227" s="226"/>
      <c r="E227" s="71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</row>
    <row r="228" spans="1:15">
      <c r="A228" s="306"/>
      <c r="B228" s="613"/>
      <c r="C228" s="616"/>
      <c r="D228" s="226"/>
      <c r="E228" s="71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</row>
    <row r="229" spans="1:15">
      <c r="A229" s="306"/>
      <c r="B229" s="613"/>
      <c r="C229" s="616"/>
      <c r="D229" s="226"/>
      <c r="E229" s="71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</row>
    <row r="230" spans="1:15">
      <c r="A230" s="306"/>
      <c r="B230" s="613"/>
      <c r="C230" s="616"/>
      <c r="D230" s="226"/>
      <c r="E230" s="71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</row>
    <row r="231" spans="1:15">
      <c r="A231" s="306"/>
      <c r="B231" s="613"/>
      <c r="C231" s="616"/>
      <c r="D231" s="226"/>
      <c r="E231" s="71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</row>
    <row r="232" spans="1:15">
      <c r="A232" s="306"/>
      <c r="B232" s="613"/>
      <c r="C232" s="616"/>
      <c r="D232" s="226"/>
      <c r="E232" s="71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</row>
    <row r="233" spans="1:15">
      <c r="A233" s="306"/>
      <c r="B233" s="613"/>
      <c r="C233" s="616"/>
      <c r="D233" s="226"/>
      <c r="E233" s="71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</row>
    <row r="234" spans="1:15">
      <c r="A234" s="306"/>
      <c r="B234" s="613"/>
      <c r="C234" s="616"/>
      <c r="D234" s="226"/>
      <c r="E234" s="71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</row>
    <row r="235" spans="1:15">
      <c r="A235" s="306"/>
      <c r="B235" s="613"/>
      <c r="C235" s="616"/>
      <c r="D235" s="226"/>
      <c r="E235" s="71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</row>
    <row r="236" spans="1:15">
      <c r="A236" s="306"/>
      <c r="B236" s="613"/>
      <c r="C236" s="616"/>
      <c r="D236" s="226"/>
      <c r="E236" s="71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</row>
    <row r="237" spans="1:15">
      <c r="A237" s="306"/>
      <c r="B237" s="613"/>
      <c r="C237" s="616"/>
      <c r="D237" s="226"/>
      <c r="E237" s="71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</row>
    <row r="238" spans="1:15">
      <c r="A238" s="306"/>
      <c r="B238" s="613"/>
      <c r="C238" s="616"/>
      <c r="D238" s="226"/>
      <c r="E238" s="71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</row>
    <row r="239" spans="1:15">
      <c r="A239" s="306"/>
      <c r="B239" s="613"/>
      <c r="C239" s="616"/>
      <c r="D239" s="226"/>
      <c r="E239" s="71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</row>
    <row r="240" spans="1:15">
      <c r="A240" s="306"/>
      <c r="B240" s="613"/>
      <c r="C240" s="616"/>
      <c r="D240" s="226"/>
      <c r="E240" s="71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</row>
    <row r="241" spans="1:15">
      <c r="A241" s="306"/>
      <c r="B241" s="613"/>
      <c r="C241" s="616"/>
      <c r="D241" s="226"/>
      <c r="E241" s="71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</row>
    <row r="242" spans="1:15">
      <c r="A242" s="306"/>
      <c r="B242" s="613"/>
      <c r="C242" s="616"/>
      <c r="D242" s="226"/>
      <c r="E242" s="71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</row>
    <row r="243" spans="1:15">
      <c r="A243" s="306"/>
      <c r="B243" s="613"/>
      <c r="C243" s="616"/>
      <c r="D243" s="226"/>
      <c r="E243" s="71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</row>
    <row r="244" spans="1:15">
      <c r="A244" s="306"/>
      <c r="B244" s="613"/>
      <c r="C244" s="616"/>
      <c r="D244" s="226"/>
      <c r="E244" s="71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</row>
    <row r="245" spans="1:15">
      <c r="A245" s="306"/>
      <c r="B245" s="613"/>
      <c r="C245" s="616"/>
      <c r="D245" s="226"/>
      <c r="E245" s="71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</row>
    <row r="246" spans="1:15">
      <c r="A246" s="306"/>
      <c r="B246" s="613"/>
      <c r="C246" s="616"/>
      <c r="D246" s="226"/>
      <c r="E246" s="71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</row>
    <row r="247" spans="1:15">
      <c r="A247" s="306"/>
      <c r="B247" s="613"/>
      <c r="C247" s="616"/>
      <c r="D247" s="226"/>
      <c r="E247" s="71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</row>
    <row r="248" spans="1:15">
      <c r="A248" s="306"/>
      <c r="B248" s="613"/>
      <c r="C248" s="616"/>
      <c r="D248" s="226"/>
      <c r="E248" s="71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</row>
    <row r="249" spans="1:15">
      <c r="A249" s="306"/>
      <c r="B249" s="613"/>
      <c r="C249" s="616"/>
      <c r="D249" s="226"/>
      <c r="E249" s="71"/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</row>
    <row r="250" spans="1:15">
      <c r="A250" s="306"/>
      <c r="B250" s="613"/>
      <c r="C250" s="616"/>
      <c r="D250" s="226"/>
      <c r="E250" s="71"/>
      <c r="F250" s="226"/>
      <c r="G250" s="226"/>
      <c r="H250" s="226"/>
      <c r="I250" s="226"/>
      <c r="J250" s="226"/>
      <c r="K250" s="226"/>
      <c r="L250" s="226"/>
      <c r="M250" s="226"/>
      <c r="N250" s="226"/>
      <c r="O250" s="226"/>
    </row>
    <row r="251" spans="1:15">
      <c r="A251" s="306"/>
      <c r="B251" s="613"/>
      <c r="C251" s="616"/>
      <c r="D251" s="226"/>
      <c r="E251" s="71"/>
      <c r="F251" s="226"/>
      <c r="G251" s="226"/>
      <c r="H251" s="226"/>
      <c r="I251" s="226"/>
      <c r="J251" s="226"/>
      <c r="K251" s="226"/>
      <c r="L251" s="226"/>
      <c r="M251" s="226"/>
      <c r="N251" s="226"/>
      <c r="O251" s="226"/>
    </row>
    <row r="252" spans="1:15">
      <c r="A252" s="306"/>
      <c r="B252" s="613"/>
      <c r="C252" s="616"/>
      <c r="D252" s="226"/>
      <c r="E252" s="71"/>
      <c r="F252" s="226"/>
      <c r="G252" s="226"/>
      <c r="H252" s="226"/>
      <c r="I252" s="226"/>
      <c r="J252" s="226"/>
      <c r="K252" s="226"/>
      <c r="L252" s="226"/>
      <c r="M252" s="226"/>
      <c r="N252" s="226"/>
      <c r="O252" s="226"/>
    </row>
    <row r="253" spans="1:15">
      <c r="A253" s="306"/>
      <c r="B253" s="613"/>
      <c r="C253" s="616"/>
      <c r="D253" s="226"/>
      <c r="E253" s="71"/>
      <c r="F253" s="226"/>
      <c r="G253" s="226"/>
      <c r="H253" s="226"/>
      <c r="I253" s="226"/>
      <c r="J253" s="226"/>
      <c r="K253" s="226"/>
      <c r="L253" s="226"/>
      <c r="M253" s="226"/>
      <c r="N253" s="226"/>
      <c r="O253" s="226"/>
    </row>
    <row r="254" spans="1:15">
      <c r="A254" s="306"/>
      <c r="B254" s="613"/>
      <c r="C254" s="616"/>
      <c r="D254" s="226"/>
      <c r="E254" s="71"/>
      <c r="F254" s="226"/>
      <c r="G254" s="226"/>
      <c r="H254" s="226"/>
      <c r="I254" s="226"/>
      <c r="J254" s="226"/>
      <c r="K254" s="226"/>
      <c r="L254" s="226"/>
      <c r="M254" s="226"/>
      <c r="N254" s="226"/>
      <c r="O254" s="226"/>
    </row>
    <row r="255" spans="1:15">
      <c r="A255" s="306"/>
      <c r="B255" s="613"/>
      <c r="C255" s="616"/>
      <c r="D255" s="226"/>
      <c r="E255" s="71"/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</row>
    <row r="256" spans="1:15">
      <c r="A256" s="306"/>
      <c r="B256" s="613"/>
      <c r="C256" s="616"/>
      <c r="D256" s="226"/>
      <c r="E256" s="71"/>
      <c r="F256" s="226"/>
      <c r="G256" s="226"/>
      <c r="H256" s="226"/>
      <c r="I256" s="226"/>
      <c r="J256" s="226"/>
      <c r="K256" s="226"/>
      <c r="L256" s="226"/>
      <c r="M256" s="226"/>
      <c r="N256" s="226"/>
      <c r="O256" s="226"/>
    </row>
    <row r="257" spans="1:15">
      <c r="A257" s="306"/>
      <c r="B257" s="613"/>
      <c r="C257" s="616"/>
      <c r="D257" s="226"/>
      <c r="E257" s="71"/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</row>
    <row r="258" spans="1:15">
      <c r="A258" s="306"/>
      <c r="B258" s="613"/>
      <c r="C258" s="616"/>
      <c r="D258" s="226"/>
      <c r="E258" s="71"/>
      <c r="F258" s="226"/>
      <c r="G258" s="226"/>
      <c r="H258" s="226"/>
      <c r="I258" s="226"/>
      <c r="J258" s="226"/>
      <c r="K258" s="226"/>
      <c r="L258" s="226"/>
      <c r="M258" s="226"/>
      <c r="N258" s="226"/>
      <c r="O258" s="226"/>
    </row>
    <row r="259" spans="1:15">
      <c r="A259" s="306"/>
      <c r="B259" s="613"/>
      <c r="C259" s="616"/>
      <c r="D259" s="226"/>
      <c r="E259" s="71"/>
      <c r="F259" s="226"/>
      <c r="G259" s="226"/>
      <c r="H259" s="226"/>
      <c r="I259" s="226"/>
      <c r="J259" s="226"/>
      <c r="K259" s="226"/>
      <c r="L259" s="226"/>
      <c r="M259" s="226"/>
      <c r="N259" s="226"/>
      <c r="O259" s="226"/>
    </row>
    <row r="260" spans="1:15">
      <c r="A260" s="306"/>
      <c r="B260" s="613"/>
      <c r="C260" s="616"/>
      <c r="D260" s="226"/>
      <c r="E260" s="71"/>
      <c r="F260" s="226"/>
      <c r="G260" s="226"/>
      <c r="H260" s="226"/>
      <c r="I260" s="226"/>
      <c r="J260" s="226"/>
      <c r="K260" s="226"/>
      <c r="L260" s="226"/>
      <c r="M260" s="226"/>
      <c r="N260" s="226"/>
      <c r="O260" s="226"/>
    </row>
    <row r="261" spans="1:15">
      <c r="A261" s="306"/>
      <c r="B261" s="613"/>
      <c r="C261" s="616"/>
      <c r="D261" s="226"/>
      <c r="E261" s="71"/>
      <c r="F261" s="226"/>
      <c r="G261" s="226"/>
      <c r="H261" s="226"/>
      <c r="I261" s="226"/>
      <c r="J261" s="226"/>
      <c r="K261" s="226"/>
      <c r="L261" s="226"/>
      <c r="M261" s="226"/>
      <c r="N261" s="226"/>
      <c r="O261" s="226"/>
    </row>
    <row r="262" spans="1:15">
      <c r="A262" s="306"/>
      <c r="B262" s="613"/>
      <c r="C262" s="616"/>
      <c r="D262" s="226"/>
      <c r="E262" s="71"/>
      <c r="F262" s="226"/>
      <c r="G262" s="226"/>
      <c r="H262" s="226"/>
      <c r="I262" s="226"/>
      <c r="J262" s="226"/>
      <c r="K262" s="226"/>
      <c r="L262" s="226"/>
      <c r="M262" s="226"/>
      <c r="N262" s="226"/>
      <c r="O262" s="226"/>
    </row>
    <row r="263" spans="1:15">
      <c r="A263" s="306"/>
      <c r="B263" s="613"/>
      <c r="C263" s="616"/>
      <c r="D263" s="226"/>
      <c r="E263" s="71"/>
      <c r="F263" s="226"/>
      <c r="G263" s="226"/>
      <c r="H263" s="226"/>
      <c r="I263" s="226"/>
      <c r="J263" s="226"/>
      <c r="K263" s="226"/>
      <c r="L263" s="226"/>
      <c r="M263" s="226"/>
      <c r="N263" s="226"/>
      <c r="O263" s="226"/>
    </row>
    <row r="264" spans="1:15">
      <c r="A264" s="306"/>
      <c r="B264" s="613"/>
      <c r="C264" s="616"/>
      <c r="D264" s="226"/>
      <c r="E264" s="71"/>
      <c r="F264" s="226"/>
      <c r="G264" s="226"/>
      <c r="H264" s="226"/>
      <c r="I264" s="226"/>
      <c r="J264" s="226"/>
      <c r="K264" s="226"/>
      <c r="L264" s="226"/>
      <c r="M264" s="226"/>
      <c r="N264" s="226"/>
      <c r="O264" s="226"/>
    </row>
    <row r="265" spans="1:15">
      <c r="A265" s="306"/>
      <c r="B265" s="613"/>
      <c r="C265" s="616"/>
      <c r="D265" s="226"/>
      <c r="E265" s="71"/>
      <c r="F265" s="226"/>
      <c r="G265" s="226"/>
      <c r="H265" s="226"/>
      <c r="I265" s="226"/>
      <c r="J265" s="226"/>
      <c r="K265" s="226"/>
      <c r="L265" s="226"/>
      <c r="M265" s="226"/>
      <c r="N265" s="226"/>
      <c r="O265" s="226"/>
    </row>
    <row r="266" spans="1:15">
      <c r="A266" s="306"/>
      <c r="B266" s="613"/>
      <c r="C266" s="616"/>
      <c r="D266" s="226"/>
      <c r="E266" s="71"/>
      <c r="F266" s="226"/>
      <c r="G266" s="226"/>
      <c r="H266" s="226"/>
      <c r="I266" s="226"/>
      <c r="J266" s="226"/>
      <c r="K266" s="226"/>
      <c r="L266" s="226"/>
      <c r="M266" s="226"/>
      <c r="N266" s="226"/>
      <c r="O266" s="226"/>
    </row>
    <row r="267" spans="1:15">
      <c r="A267" s="306"/>
      <c r="B267" s="613"/>
      <c r="C267" s="616"/>
      <c r="D267" s="226"/>
      <c r="E267" s="71"/>
      <c r="F267" s="226"/>
      <c r="G267" s="226"/>
      <c r="H267" s="226"/>
      <c r="I267" s="226"/>
      <c r="J267" s="226"/>
      <c r="K267" s="226"/>
      <c r="L267" s="226"/>
      <c r="M267" s="226"/>
      <c r="N267" s="226"/>
      <c r="O267" s="226"/>
    </row>
    <row r="268" spans="1:15">
      <c r="A268" s="306"/>
      <c r="B268" s="613"/>
      <c r="C268" s="616"/>
      <c r="D268" s="226"/>
      <c r="E268" s="71"/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</row>
    <row r="269" spans="1:15">
      <c r="A269" s="306"/>
      <c r="B269" s="613"/>
      <c r="C269" s="616"/>
      <c r="D269" s="226"/>
      <c r="E269" s="71"/>
      <c r="F269" s="226"/>
      <c r="G269" s="226"/>
      <c r="H269" s="226"/>
      <c r="I269" s="226"/>
      <c r="J269" s="226"/>
      <c r="K269" s="226"/>
      <c r="L269" s="226"/>
      <c r="M269" s="226"/>
      <c r="N269" s="226"/>
      <c r="O269" s="226"/>
    </row>
    <row r="270" spans="1:15">
      <c r="A270" s="306"/>
      <c r="B270" s="613"/>
      <c r="C270" s="616"/>
      <c r="D270" s="226"/>
      <c r="E270" s="71"/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</row>
    <row r="271" spans="1:15">
      <c r="A271" s="306"/>
      <c r="B271" s="613"/>
      <c r="C271" s="616"/>
      <c r="D271" s="226"/>
      <c r="E271" s="71"/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</row>
    <row r="272" spans="1:15">
      <c r="A272" s="306"/>
      <c r="B272" s="613"/>
      <c r="C272" s="616"/>
      <c r="D272" s="226"/>
      <c r="E272" s="71"/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</row>
    <row r="273" spans="1:15">
      <c r="A273" s="306"/>
      <c r="B273" s="613"/>
      <c r="C273" s="616"/>
      <c r="D273" s="226"/>
      <c r="E273" s="71"/>
      <c r="F273" s="226"/>
      <c r="G273" s="226"/>
      <c r="H273" s="226"/>
      <c r="I273" s="226"/>
      <c r="J273" s="226"/>
      <c r="K273" s="226"/>
      <c r="L273" s="226"/>
      <c r="M273" s="226"/>
      <c r="N273" s="226"/>
      <c r="O273" s="226"/>
    </row>
    <row r="274" spans="1:15">
      <c r="A274" s="306"/>
      <c r="B274" s="613"/>
      <c r="C274" s="616"/>
      <c r="D274" s="226"/>
      <c r="E274" s="71"/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</row>
    <row r="275" spans="1:15">
      <c r="A275" s="306"/>
      <c r="B275" s="613"/>
      <c r="C275" s="616"/>
      <c r="D275" s="226"/>
      <c r="E275" s="71"/>
      <c r="F275" s="226"/>
      <c r="G275" s="226"/>
      <c r="H275" s="226"/>
      <c r="I275" s="226"/>
      <c r="J275" s="226"/>
      <c r="K275" s="226"/>
      <c r="L275" s="226"/>
      <c r="M275" s="226"/>
      <c r="N275" s="226"/>
      <c r="O275" s="226"/>
    </row>
    <row r="276" spans="1:15">
      <c r="A276" s="306"/>
      <c r="B276" s="613"/>
      <c r="C276" s="616"/>
      <c r="D276" s="226"/>
      <c r="E276" s="71"/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</row>
    <row r="277" spans="1:15">
      <c r="A277" s="306"/>
      <c r="B277" s="613"/>
      <c r="C277" s="616"/>
      <c r="D277" s="226"/>
      <c r="E277" s="71"/>
      <c r="F277" s="226"/>
      <c r="G277" s="226"/>
      <c r="H277" s="226"/>
      <c r="I277" s="226"/>
      <c r="J277" s="226"/>
      <c r="K277" s="226"/>
      <c r="L277" s="226"/>
      <c r="M277" s="226"/>
      <c r="N277" s="226"/>
      <c r="O277" s="226"/>
    </row>
    <row r="278" spans="1:15">
      <c r="A278" s="306"/>
      <c r="B278" s="613"/>
      <c r="C278" s="616"/>
      <c r="D278" s="226"/>
      <c r="E278" s="71"/>
      <c r="F278" s="226"/>
      <c r="G278" s="226"/>
      <c r="H278" s="226"/>
      <c r="I278" s="226"/>
      <c r="J278" s="226"/>
      <c r="K278" s="226"/>
      <c r="L278" s="226"/>
      <c r="M278" s="226"/>
      <c r="N278" s="226"/>
      <c r="O278" s="226"/>
    </row>
    <row r="279" spans="1:15">
      <c r="A279" s="306"/>
      <c r="B279" s="613"/>
      <c r="C279" s="616"/>
      <c r="D279" s="226"/>
      <c r="E279" s="71"/>
      <c r="F279" s="226"/>
      <c r="G279" s="226"/>
      <c r="H279" s="226"/>
      <c r="I279" s="226"/>
      <c r="J279" s="226"/>
      <c r="K279" s="226"/>
      <c r="L279" s="226"/>
      <c r="M279" s="226"/>
      <c r="N279" s="226"/>
      <c r="O279" s="226"/>
    </row>
    <row r="280" spans="1:15">
      <c r="A280" s="306"/>
      <c r="B280" s="613"/>
      <c r="C280" s="616"/>
      <c r="D280" s="226"/>
      <c r="E280" s="71"/>
      <c r="F280" s="226"/>
      <c r="G280" s="226"/>
      <c r="H280" s="226"/>
      <c r="I280" s="226"/>
      <c r="J280" s="226"/>
      <c r="K280" s="226"/>
      <c r="L280" s="226"/>
      <c r="M280" s="226"/>
      <c r="N280" s="226"/>
      <c r="O280" s="226"/>
    </row>
    <row r="281" spans="1:15">
      <c r="A281" s="306"/>
      <c r="B281" s="613"/>
      <c r="C281" s="616"/>
      <c r="D281" s="226"/>
      <c r="E281" s="71"/>
      <c r="F281" s="226"/>
      <c r="G281" s="226"/>
      <c r="H281" s="226"/>
      <c r="I281" s="226"/>
      <c r="J281" s="226"/>
      <c r="K281" s="226"/>
      <c r="L281" s="226"/>
      <c r="M281" s="226"/>
      <c r="N281" s="226"/>
      <c r="O281" s="226"/>
    </row>
    <row r="282" spans="1:15">
      <c r="A282" s="306"/>
      <c r="B282" s="613"/>
      <c r="C282" s="616"/>
      <c r="D282" s="226"/>
      <c r="E282" s="71"/>
      <c r="F282" s="226"/>
      <c r="G282" s="226"/>
      <c r="H282" s="226"/>
      <c r="I282" s="226"/>
      <c r="J282" s="226"/>
      <c r="K282" s="226"/>
      <c r="L282" s="226"/>
      <c r="M282" s="226"/>
      <c r="N282" s="226"/>
      <c r="O282" s="226"/>
    </row>
    <row r="283" spans="1:15">
      <c r="A283" s="306"/>
      <c r="B283" s="613"/>
      <c r="C283" s="616"/>
      <c r="D283" s="226"/>
      <c r="E283" s="71"/>
      <c r="F283" s="226"/>
      <c r="G283" s="226"/>
      <c r="H283" s="226"/>
      <c r="I283" s="226"/>
      <c r="J283" s="226"/>
      <c r="K283" s="226"/>
      <c r="L283" s="226"/>
      <c r="M283" s="226"/>
      <c r="N283" s="226"/>
      <c r="O283" s="226"/>
    </row>
    <row r="284" spans="1:15">
      <c r="A284" s="306"/>
      <c r="B284" s="613"/>
      <c r="C284" s="616"/>
      <c r="D284" s="226"/>
      <c r="E284" s="71"/>
      <c r="F284" s="226"/>
      <c r="G284" s="226"/>
      <c r="H284" s="226"/>
      <c r="I284" s="226"/>
      <c r="J284" s="226"/>
      <c r="K284" s="226"/>
      <c r="L284" s="226"/>
      <c r="M284" s="226"/>
      <c r="N284" s="226"/>
      <c r="O284" s="226"/>
    </row>
    <row r="285" spans="1:15">
      <c r="A285" s="306"/>
      <c r="B285" s="613"/>
      <c r="C285" s="616"/>
      <c r="D285" s="226"/>
      <c r="E285" s="71"/>
      <c r="F285" s="226"/>
      <c r="G285" s="226"/>
      <c r="H285" s="226"/>
      <c r="I285" s="226"/>
      <c r="J285" s="226"/>
      <c r="K285" s="226"/>
      <c r="L285" s="226"/>
      <c r="M285" s="226"/>
      <c r="N285" s="226"/>
      <c r="O285" s="226"/>
    </row>
    <row r="286" spans="1:15">
      <c r="A286" s="306"/>
      <c r="B286" s="613"/>
      <c r="C286" s="616"/>
      <c r="D286" s="226"/>
      <c r="E286" s="71"/>
      <c r="F286" s="226"/>
      <c r="G286" s="226"/>
      <c r="H286" s="226"/>
      <c r="I286" s="226"/>
      <c r="J286" s="226"/>
      <c r="K286" s="226"/>
      <c r="L286" s="226"/>
      <c r="M286" s="226"/>
      <c r="N286" s="226"/>
      <c r="O286" s="226"/>
    </row>
    <row r="287" spans="1:15">
      <c r="A287" s="306"/>
      <c r="B287" s="614"/>
      <c r="C287" s="71"/>
      <c r="D287" s="226"/>
      <c r="E287" s="71"/>
      <c r="F287" s="353"/>
      <c r="G287" s="353"/>
      <c r="H287" s="353"/>
      <c r="I287" s="353"/>
      <c r="J287" s="353"/>
      <c r="K287" s="353"/>
      <c r="L287" s="353"/>
      <c r="M287" s="353"/>
      <c r="N287" s="353"/>
      <c r="O287" s="353"/>
    </row>
    <row r="288" spans="1:15">
      <c r="A288" s="306"/>
      <c r="B288" s="614"/>
      <c r="C288" s="71"/>
      <c r="D288" s="226"/>
      <c r="E288" s="71"/>
      <c r="F288" s="353"/>
      <c r="G288" s="353"/>
      <c r="H288" s="353"/>
      <c r="I288" s="353"/>
      <c r="J288" s="353"/>
      <c r="K288" s="353"/>
      <c r="L288" s="353"/>
      <c r="M288" s="353"/>
      <c r="N288" s="353"/>
      <c r="O288" s="353"/>
    </row>
    <row r="289" spans="1:15">
      <c r="A289" s="306"/>
      <c r="B289" s="614"/>
      <c r="C289" s="71"/>
      <c r="D289" s="226"/>
      <c r="E289" s="71"/>
      <c r="F289" s="353"/>
      <c r="G289" s="353"/>
      <c r="H289" s="353"/>
      <c r="I289" s="353"/>
      <c r="J289" s="353"/>
      <c r="K289" s="353"/>
      <c r="L289" s="353"/>
      <c r="M289" s="353"/>
      <c r="N289" s="353"/>
      <c r="O289" s="353"/>
    </row>
    <row r="290" spans="1:15">
      <c r="A290" s="306"/>
      <c r="B290" s="614"/>
      <c r="C290" s="71"/>
      <c r="D290" s="226"/>
      <c r="E290" s="71"/>
      <c r="F290" s="353"/>
      <c r="G290" s="353"/>
      <c r="H290" s="353"/>
      <c r="I290" s="353"/>
      <c r="J290" s="353"/>
      <c r="K290" s="353"/>
      <c r="L290" s="353"/>
      <c r="M290" s="353"/>
      <c r="N290" s="353"/>
      <c r="O290" s="353"/>
    </row>
    <row r="291" spans="1:15">
      <c r="A291" s="306"/>
      <c r="B291" s="614"/>
      <c r="C291" s="71"/>
      <c r="D291" s="226"/>
      <c r="E291" s="71"/>
      <c r="F291" s="353"/>
      <c r="G291" s="353"/>
      <c r="H291" s="353"/>
      <c r="I291" s="353"/>
      <c r="J291" s="353"/>
      <c r="K291" s="353"/>
      <c r="L291" s="353"/>
      <c r="M291" s="353"/>
      <c r="N291" s="353"/>
      <c r="O291" s="353"/>
    </row>
    <row r="292" spans="1:15">
      <c r="A292" s="306"/>
      <c r="B292" s="614"/>
      <c r="C292" s="71"/>
      <c r="D292" s="226"/>
      <c r="E292" s="71"/>
      <c r="F292" s="353"/>
      <c r="G292" s="353"/>
      <c r="H292" s="353"/>
      <c r="I292" s="353"/>
      <c r="J292" s="353"/>
      <c r="K292" s="353"/>
      <c r="L292" s="353"/>
      <c r="M292" s="353"/>
      <c r="N292" s="353"/>
      <c r="O292" s="353"/>
    </row>
    <row r="293" spans="1:15">
      <c r="A293" s="306"/>
      <c r="B293" s="614"/>
      <c r="C293" s="71"/>
      <c r="D293" s="226"/>
      <c r="E293" s="71"/>
      <c r="F293" s="353"/>
      <c r="G293" s="353"/>
      <c r="H293" s="353"/>
      <c r="I293" s="353"/>
      <c r="J293" s="353"/>
      <c r="K293" s="353"/>
      <c r="L293" s="353"/>
      <c r="M293" s="353"/>
      <c r="N293" s="353"/>
      <c r="O293" s="353"/>
    </row>
    <row r="294" spans="1:15">
      <c r="A294" s="306"/>
      <c r="B294" s="614"/>
      <c r="C294" s="71"/>
      <c r="D294" s="226"/>
      <c r="E294" s="71"/>
      <c r="F294" s="353"/>
      <c r="G294" s="353"/>
      <c r="H294" s="353"/>
      <c r="I294" s="353"/>
      <c r="J294" s="353"/>
      <c r="K294" s="353"/>
      <c r="L294" s="353"/>
      <c r="M294" s="353"/>
      <c r="N294" s="353"/>
      <c r="O294" s="353"/>
    </row>
    <row r="295" spans="1:15">
      <c r="A295" s="306"/>
      <c r="B295" s="614"/>
      <c r="C295" s="71"/>
      <c r="D295" s="226"/>
      <c r="E295" s="71"/>
      <c r="F295" s="353"/>
      <c r="G295" s="353"/>
      <c r="H295" s="353"/>
      <c r="I295" s="353"/>
      <c r="J295" s="353"/>
      <c r="K295" s="353"/>
      <c r="L295" s="353"/>
      <c r="M295" s="353"/>
      <c r="N295" s="353"/>
      <c r="O295" s="353"/>
    </row>
    <row r="296" spans="1:15">
      <c r="A296" s="306"/>
      <c r="B296" s="614"/>
      <c r="C296" s="71"/>
      <c r="D296" s="226"/>
      <c r="E296" s="71"/>
      <c r="F296" s="353"/>
      <c r="G296" s="353"/>
      <c r="H296" s="353"/>
      <c r="I296" s="353"/>
      <c r="J296" s="353"/>
      <c r="K296" s="353"/>
      <c r="L296" s="353"/>
      <c r="M296" s="353"/>
      <c r="N296" s="353"/>
      <c r="O296" s="353"/>
    </row>
  </sheetData>
  <conditionalFormatting sqref="F64:O64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equal">
      <formula>0</formula>
    </cfRule>
  </conditionalFormatting>
  <hyperlinks>
    <hyperlink ref="Q5" r:id="rId1"/>
  </hyperlinks>
  <pageMargins left="0.70866141732283472" right="0.70866141732283472" top="0.74803149606299213" bottom="0.74803149606299213" header="0.31496062992125984" footer="0.31496062992125984"/>
  <pageSetup paperSize="9" scale="57" fitToHeight="14" orientation="landscape" r:id="rId2"/>
  <headerFooter>
    <oddFooter>&amp;C&amp;9Страница  &amp;P из &amp;N&amp;R&amp;G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6" name="Check Box 1">
              <controlPr defaultSize="0" autoFill="0" autoLine="0" autoPict="0">
                <anchor moveWithCells="1">
                  <from>
                    <xdr:col>16</xdr:col>
                    <xdr:colOff>247650</xdr:colOff>
                    <xdr:row>7</xdr:row>
                    <xdr:rowOff>95250</xdr:rowOff>
                  </from>
                  <to>
                    <xdr:col>16</xdr:col>
                    <xdr:colOff>466725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7" name="Check Box 2">
              <controlPr defaultSize="0" autoFill="0" autoLine="0" autoPict="0">
                <anchor moveWithCells="1">
                  <from>
                    <xdr:col>16</xdr:col>
                    <xdr:colOff>247650</xdr:colOff>
                    <xdr:row>8</xdr:row>
                    <xdr:rowOff>95250</xdr:rowOff>
                  </from>
                  <to>
                    <xdr:col>16</xdr:col>
                    <xdr:colOff>466725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8" name="Check Box 3">
              <controlPr defaultSize="0" autoFill="0" autoLine="0" autoPict="0">
                <anchor moveWithCells="1">
                  <from>
                    <xdr:col>16</xdr:col>
                    <xdr:colOff>247650</xdr:colOff>
                    <xdr:row>9</xdr:row>
                    <xdr:rowOff>95250</xdr:rowOff>
                  </from>
                  <to>
                    <xdr:col>16</xdr:col>
                    <xdr:colOff>466725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9" name="Check Box 4">
              <controlPr defaultSize="0" autoFill="0" autoLine="0" autoPict="0">
                <anchor moveWithCells="1">
                  <from>
                    <xdr:col>16</xdr:col>
                    <xdr:colOff>247650</xdr:colOff>
                    <xdr:row>10</xdr:row>
                    <xdr:rowOff>95250</xdr:rowOff>
                  </from>
                  <to>
                    <xdr:col>16</xdr:col>
                    <xdr:colOff>466725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10" name="Check Box 5">
              <controlPr defaultSize="0" autoFill="0" autoLine="0" autoPict="0">
                <anchor moveWithCells="1">
                  <from>
                    <xdr:col>16</xdr:col>
                    <xdr:colOff>247650</xdr:colOff>
                    <xdr:row>13</xdr:row>
                    <xdr:rowOff>95250</xdr:rowOff>
                  </from>
                  <to>
                    <xdr:col>16</xdr:col>
                    <xdr:colOff>466725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11" name="Check Box 6">
              <controlPr defaultSize="0" autoFill="0" autoLine="0" autoPict="0">
                <anchor moveWithCells="1">
                  <from>
                    <xdr:col>16</xdr:col>
                    <xdr:colOff>209550</xdr:colOff>
                    <xdr:row>17</xdr:row>
                    <xdr:rowOff>19050</xdr:rowOff>
                  </from>
                  <to>
                    <xdr:col>16</xdr:col>
                    <xdr:colOff>428625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12" name="Check Box 7">
              <controlPr defaultSize="0" autoFill="0" autoLine="0" autoPict="0">
                <anchor moveWithCells="1">
                  <from>
                    <xdr:col>16</xdr:col>
                    <xdr:colOff>209550</xdr:colOff>
                    <xdr:row>18</xdr:row>
                    <xdr:rowOff>19050</xdr:rowOff>
                  </from>
                  <to>
                    <xdr:col>16</xdr:col>
                    <xdr:colOff>428625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3" name="Check Box 8">
              <controlPr defaultSize="0" autoFill="0" autoLine="0" autoPict="0">
                <anchor moveWithCells="1">
                  <from>
                    <xdr:col>16</xdr:col>
                    <xdr:colOff>209550</xdr:colOff>
                    <xdr:row>19</xdr:row>
                    <xdr:rowOff>19050</xdr:rowOff>
                  </from>
                  <to>
                    <xdr:col>16</xdr:col>
                    <xdr:colOff>428625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4" name="Check Box 9">
              <controlPr defaultSize="0" autoFill="0" autoLine="0" autoPict="0">
                <anchor moveWithCells="1">
                  <from>
                    <xdr:col>16</xdr:col>
                    <xdr:colOff>209550</xdr:colOff>
                    <xdr:row>20</xdr:row>
                    <xdr:rowOff>19050</xdr:rowOff>
                  </from>
                  <to>
                    <xdr:col>16</xdr:col>
                    <xdr:colOff>428625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15" name="Check Box 10">
              <controlPr defaultSize="0" autoFill="0" autoLine="0" autoPict="0">
                <anchor moveWithCells="1">
                  <from>
                    <xdr:col>16</xdr:col>
                    <xdr:colOff>209550</xdr:colOff>
                    <xdr:row>21</xdr:row>
                    <xdr:rowOff>19050</xdr:rowOff>
                  </from>
                  <to>
                    <xdr:col>16</xdr:col>
                    <xdr:colOff>428625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16" name="Check Box 11">
              <controlPr defaultSize="0" autoFill="0" autoLine="0" autoPict="0">
                <anchor moveWithCells="1">
                  <from>
                    <xdr:col>16</xdr:col>
                    <xdr:colOff>209550</xdr:colOff>
                    <xdr:row>24</xdr:row>
                    <xdr:rowOff>495300</xdr:rowOff>
                  </from>
                  <to>
                    <xdr:col>16</xdr:col>
                    <xdr:colOff>419100</xdr:colOff>
                    <xdr:row>24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7" name="Check Box 13">
              <controlPr defaultSize="0" autoFill="0" autoLine="0" autoPict="0">
                <anchor moveWithCells="1">
                  <from>
                    <xdr:col>16</xdr:col>
                    <xdr:colOff>209550</xdr:colOff>
                    <xdr:row>27</xdr:row>
                    <xdr:rowOff>19050</xdr:rowOff>
                  </from>
                  <to>
                    <xdr:col>16</xdr:col>
                    <xdr:colOff>428625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8" name="Check Box 14">
              <controlPr defaultSize="0" autoFill="0" autoLine="0" autoPict="0">
                <anchor moveWithCells="1">
                  <from>
                    <xdr:col>16</xdr:col>
                    <xdr:colOff>209550</xdr:colOff>
                    <xdr:row>30</xdr:row>
                    <xdr:rowOff>19050</xdr:rowOff>
                  </from>
                  <to>
                    <xdr:col>16</xdr:col>
                    <xdr:colOff>428625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19" name="Check Box 15">
              <controlPr defaultSize="0" autoFill="0" autoLine="0" autoPict="0">
                <anchor moveWithCells="1">
                  <from>
                    <xdr:col>16</xdr:col>
                    <xdr:colOff>209550</xdr:colOff>
                    <xdr:row>33</xdr:row>
                    <xdr:rowOff>19050</xdr:rowOff>
                  </from>
                  <to>
                    <xdr:col>16</xdr:col>
                    <xdr:colOff>428625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4" r:id="rId20" name="Check Box 16">
              <controlPr defaultSize="0" autoFill="0" autoLine="0" autoPict="0">
                <anchor moveWithCells="1">
                  <from>
                    <xdr:col>16</xdr:col>
                    <xdr:colOff>200025</xdr:colOff>
                    <xdr:row>39</xdr:row>
                    <xdr:rowOff>190500</xdr:rowOff>
                  </from>
                  <to>
                    <xdr:col>16</xdr:col>
                    <xdr:colOff>409575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5" r:id="rId21" name="Check Box 17">
              <controlPr defaultSize="0" autoFill="0" autoLine="0" autoPict="0">
                <anchor moveWithCells="1">
                  <from>
                    <xdr:col>16</xdr:col>
                    <xdr:colOff>200025</xdr:colOff>
                    <xdr:row>40</xdr:row>
                    <xdr:rowOff>190500</xdr:rowOff>
                  </from>
                  <to>
                    <xdr:col>16</xdr:col>
                    <xdr:colOff>409575</xdr:colOff>
                    <xdr:row>40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6" r:id="rId22" name="Check Box 18">
              <controlPr defaultSize="0" autoFill="0" autoLine="0" autoPict="0">
                <anchor moveWithCells="1">
                  <from>
                    <xdr:col>16</xdr:col>
                    <xdr:colOff>219075</xdr:colOff>
                    <xdr:row>44</xdr:row>
                    <xdr:rowOff>47625</xdr:rowOff>
                  </from>
                  <to>
                    <xdr:col>16</xdr:col>
                    <xdr:colOff>438150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23" name="Check Box 19">
              <controlPr defaultSize="0" autoFill="0" autoLine="0" autoPict="0">
                <anchor moveWithCells="1">
                  <from>
                    <xdr:col>16</xdr:col>
                    <xdr:colOff>219075</xdr:colOff>
                    <xdr:row>45</xdr:row>
                    <xdr:rowOff>47625</xdr:rowOff>
                  </from>
                  <to>
                    <xdr:col>16</xdr:col>
                    <xdr:colOff>438150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24" name="Check Box 20">
              <controlPr defaultSize="0" autoFill="0" autoLine="0" autoPict="0">
                <anchor moveWithCells="1">
                  <from>
                    <xdr:col>16</xdr:col>
                    <xdr:colOff>219075</xdr:colOff>
                    <xdr:row>46</xdr:row>
                    <xdr:rowOff>47625</xdr:rowOff>
                  </from>
                  <to>
                    <xdr:col>16</xdr:col>
                    <xdr:colOff>438150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9" r:id="rId25" name="Check Box 21">
              <controlPr defaultSize="0" autoFill="0" autoLine="0" autoPict="0">
                <anchor moveWithCells="1">
                  <from>
                    <xdr:col>16</xdr:col>
                    <xdr:colOff>219075</xdr:colOff>
                    <xdr:row>47</xdr:row>
                    <xdr:rowOff>47625</xdr:rowOff>
                  </from>
                  <to>
                    <xdr:col>16</xdr:col>
                    <xdr:colOff>438150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0" r:id="rId26" name="Check Box 22">
              <controlPr defaultSize="0" autoFill="0" autoLine="0" autoPict="0">
                <anchor moveWithCells="1">
                  <from>
                    <xdr:col>16</xdr:col>
                    <xdr:colOff>219075</xdr:colOff>
                    <xdr:row>48</xdr:row>
                    <xdr:rowOff>47625</xdr:rowOff>
                  </from>
                  <to>
                    <xdr:col>16</xdr:col>
                    <xdr:colOff>438150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1" r:id="rId27" name="Check Box 23">
              <controlPr defaultSize="0" autoFill="0" autoLine="0" autoPict="0">
                <anchor moveWithCells="1">
                  <from>
                    <xdr:col>16</xdr:col>
                    <xdr:colOff>219075</xdr:colOff>
                    <xdr:row>49</xdr:row>
                    <xdr:rowOff>47625</xdr:rowOff>
                  </from>
                  <to>
                    <xdr:col>16</xdr:col>
                    <xdr:colOff>438150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4" r:id="rId28" name="Check Box 26">
              <controlPr defaultSize="0" autoFill="0" autoLine="0" autoPict="0">
                <anchor moveWithCells="1">
                  <from>
                    <xdr:col>16</xdr:col>
                    <xdr:colOff>219075</xdr:colOff>
                    <xdr:row>52</xdr:row>
                    <xdr:rowOff>47625</xdr:rowOff>
                  </from>
                  <to>
                    <xdr:col>16</xdr:col>
                    <xdr:colOff>438150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5" r:id="rId29" name="Check Box 27">
              <controlPr defaultSize="0" autoFill="0" autoLine="0" autoPict="0">
                <anchor moveWithCells="1">
                  <from>
                    <xdr:col>16</xdr:col>
                    <xdr:colOff>219075</xdr:colOff>
                    <xdr:row>55</xdr:row>
                    <xdr:rowOff>47625</xdr:rowOff>
                  </from>
                  <to>
                    <xdr:col>16</xdr:col>
                    <xdr:colOff>438150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6" r:id="rId30" name="Check Box 28">
              <controlPr defaultSize="0" autoFill="0" autoLine="0" autoPict="0">
                <anchor moveWithCells="1">
                  <from>
                    <xdr:col>16</xdr:col>
                    <xdr:colOff>219075</xdr:colOff>
                    <xdr:row>58</xdr:row>
                    <xdr:rowOff>47625</xdr:rowOff>
                  </from>
                  <to>
                    <xdr:col>16</xdr:col>
                    <xdr:colOff>438150</xdr:colOff>
                    <xdr:row>58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2" tint="-0.249977111117893"/>
    <pageSetUpPr fitToPage="1"/>
  </sheetPr>
  <dimension ref="A1:E38"/>
  <sheetViews>
    <sheetView zoomScale="115" zoomScaleNormal="115" workbookViewId="0">
      <pane xSplit="1" ySplit="3" topLeftCell="B4" activePane="bottomRight" state="frozen"/>
      <selection activeCell="C8" sqref="C8"/>
      <selection pane="topRight" activeCell="C8" sqref="C8"/>
      <selection pane="bottomLeft" activeCell="C8" sqref="C8"/>
      <selection pane="bottomRight"/>
    </sheetView>
  </sheetViews>
  <sheetFormatPr defaultColWidth="0" defaultRowHeight="15" zeroHeight="1"/>
  <cols>
    <col min="1" max="1" width="11.5703125" customWidth="1"/>
    <col min="2" max="2" width="56.28515625" style="2" customWidth="1"/>
    <col min="3" max="3" width="26.28515625" customWidth="1"/>
    <col min="4" max="5" width="8.85546875" customWidth="1"/>
    <col min="6" max="16384" width="8.85546875" hidden="1"/>
  </cols>
  <sheetData>
    <row r="1" spans="1:3" ht="18.75">
      <c r="A1" s="655" t="s">
        <v>1</v>
      </c>
      <c r="B1" s="164"/>
      <c r="C1" s="71"/>
    </row>
    <row r="2" spans="1:3">
      <c r="A2" s="71" t="str">
        <f>Паспорт_ФМ_резидент!B7</f>
        <v>Разработка, производство, модернизация и реализация …</v>
      </c>
      <c r="B2" s="164"/>
      <c r="C2" s="71"/>
    </row>
    <row r="3" spans="1:3">
      <c r="A3" s="154" t="s">
        <v>2</v>
      </c>
      <c r="B3" s="617" t="s">
        <v>3</v>
      </c>
      <c r="C3" s="154" t="s">
        <v>4</v>
      </c>
    </row>
    <row r="4" spans="1:3" ht="4.9000000000000004" customHeight="1">
      <c r="A4" s="146"/>
      <c r="B4" s="175"/>
      <c r="C4" s="146"/>
    </row>
    <row r="5" spans="1:3">
      <c r="A5" s="146"/>
      <c r="B5" s="175"/>
      <c r="C5" s="146"/>
    </row>
    <row r="6" spans="1:3" ht="30">
      <c r="A6" s="146"/>
      <c r="B6" s="173" t="s">
        <v>118</v>
      </c>
      <c r="C6" s="141">
        <v>1000</v>
      </c>
    </row>
    <row r="7" spans="1:3">
      <c r="A7" s="146"/>
      <c r="B7" s="173"/>
      <c r="C7" s="146"/>
    </row>
    <row r="8" spans="1:3" ht="30">
      <c r="A8" s="146"/>
      <c r="B8" s="173" t="s">
        <v>126</v>
      </c>
      <c r="C8" s="144">
        <v>10</v>
      </c>
    </row>
    <row r="9" spans="1:3">
      <c r="A9" s="146"/>
      <c r="B9" s="173"/>
      <c r="C9" s="146"/>
    </row>
    <row r="10" spans="1:3" ht="30">
      <c r="A10" s="146"/>
      <c r="B10" s="173" t="s">
        <v>117</v>
      </c>
      <c r="C10" s="227">
        <v>1000</v>
      </c>
    </row>
    <row r="11" spans="1:3">
      <c r="A11" s="146"/>
      <c r="B11" s="173"/>
      <c r="C11" s="146"/>
    </row>
    <row r="12" spans="1:3">
      <c r="A12" s="146"/>
      <c r="B12" s="173" t="s">
        <v>119</v>
      </c>
      <c r="C12" s="618">
        <v>1.04</v>
      </c>
    </row>
    <row r="13" spans="1:3">
      <c r="A13" s="146"/>
      <c r="B13" s="173"/>
      <c r="C13" s="146"/>
    </row>
    <row r="14" spans="1:3">
      <c r="A14" s="146"/>
      <c r="B14" s="173" t="s">
        <v>5</v>
      </c>
      <c r="C14" s="619">
        <v>45358</v>
      </c>
    </row>
    <row r="15" spans="1:3">
      <c r="A15" s="146"/>
      <c r="B15" s="173"/>
      <c r="C15" s="146"/>
    </row>
    <row r="16" spans="1:3">
      <c r="A16" s="146"/>
      <c r="B16" s="173" t="s">
        <v>222</v>
      </c>
      <c r="C16" s="620">
        <v>0.12</v>
      </c>
    </row>
    <row r="17" spans="1:3">
      <c r="A17" s="146"/>
      <c r="B17" s="173"/>
      <c r="C17" s="146"/>
    </row>
    <row r="18" spans="1:3">
      <c r="A18" s="146"/>
      <c r="B18" s="173" t="s">
        <v>6</v>
      </c>
      <c r="C18" s="515">
        <v>1000</v>
      </c>
    </row>
    <row r="19" spans="1:3">
      <c r="A19" s="146"/>
      <c r="B19" s="173"/>
      <c r="C19" s="146"/>
    </row>
    <row r="20" spans="1:3">
      <c r="A20" s="146"/>
      <c r="B20" s="173" t="s">
        <v>7</v>
      </c>
      <c r="C20" s="223">
        <v>1000</v>
      </c>
    </row>
    <row r="21" spans="1:3">
      <c r="A21" s="146"/>
      <c r="B21" s="173"/>
      <c r="C21" s="146"/>
    </row>
    <row r="22" spans="1:3">
      <c r="A22" s="146"/>
      <c r="B22" s="173" t="s">
        <v>18</v>
      </c>
      <c r="C22" s="154" t="s">
        <v>3</v>
      </c>
    </row>
    <row r="23" spans="1:3">
      <c r="A23" s="146"/>
      <c r="B23" s="173"/>
      <c r="C23" s="146"/>
    </row>
    <row r="24" spans="1:3">
      <c r="A24" s="146"/>
      <c r="B24" s="173" t="s">
        <v>8</v>
      </c>
      <c r="C24" s="154">
        <v>2024</v>
      </c>
    </row>
    <row r="25" spans="1:3">
      <c r="A25" s="146"/>
      <c r="B25" s="173"/>
      <c r="C25" s="146"/>
    </row>
    <row r="26" spans="1:3">
      <c r="A26" s="146"/>
      <c r="B26" s="173" t="s">
        <v>16</v>
      </c>
      <c r="C26" s="537" t="s">
        <v>14</v>
      </c>
    </row>
    <row r="27" spans="1:3">
      <c r="A27" s="146"/>
      <c r="B27" s="173"/>
      <c r="C27" s="537"/>
    </row>
    <row r="28" spans="1:3">
      <c r="A28" s="146"/>
      <c r="B28" s="173" t="s">
        <v>17</v>
      </c>
      <c r="C28" s="146" t="s">
        <v>15</v>
      </c>
    </row>
    <row r="29" spans="1:3">
      <c r="A29" s="146"/>
      <c r="B29" s="173"/>
      <c r="C29" s="146"/>
    </row>
    <row r="30" spans="1:3" ht="30">
      <c r="A30" s="146"/>
      <c r="B30" s="173" t="s">
        <v>9</v>
      </c>
      <c r="C30" s="225">
        <v>2</v>
      </c>
    </row>
    <row r="31" spans="1:3" ht="30">
      <c r="A31" s="146"/>
      <c r="B31" s="173" t="s">
        <v>10</v>
      </c>
      <c r="C31" s="347" t="str">
        <f>IF(ROUND(C30,3)=0,"Верно","Ошибка!")</f>
        <v>Ошибка!</v>
      </c>
    </row>
    <row r="32" spans="1:3">
      <c r="A32" s="146"/>
      <c r="B32" s="173"/>
      <c r="C32" s="146"/>
    </row>
    <row r="33" spans="2:3" ht="30">
      <c r="B33" s="554" t="s">
        <v>137</v>
      </c>
      <c r="C33" s="368">
        <v>5</v>
      </c>
    </row>
    <row r="34" spans="2:3">
      <c r="B34" s="164"/>
      <c r="C34" s="71"/>
    </row>
    <row r="35" spans="2:3">
      <c r="B35" s="164"/>
      <c r="C35" s="71"/>
    </row>
    <row r="36" spans="2:3">
      <c r="B36" s="164"/>
      <c r="C36" s="71"/>
    </row>
    <row r="37" spans="2:3">
      <c r="B37" s="164"/>
      <c r="C37" s="71"/>
    </row>
    <row r="38" spans="2:3">
      <c r="B38" s="164"/>
      <c r="C38" s="71"/>
    </row>
  </sheetData>
  <conditionalFormatting sqref="C31">
    <cfRule type="expression" dxfId="0" priority="1">
      <formula>C31="Ошибка!"</formula>
    </cfRule>
  </conditionalFormatting>
  <hyperlinks>
    <hyperlink ref="C26" r:id="rId1"/>
  </hyperlinks>
  <pageMargins left="0.70866141732283472" right="0.70866141732283472" top="0.74803149606299213" bottom="0.74803149606299213" header="0.31496062992125984" footer="0.31496062992125984"/>
  <pageSetup paperSize="9" scale="92" orientation="portrait" r:id="rId2"/>
  <headerFooter>
    <oddFooter>&amp;C&amp;9Страница  &amp;P из &amp;N&amp;R&amp;G</oddFooter>
  </headerFooter>
  <drawing r:id="rId3"/>
  <legacyDrawingHF r:id="rId4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2" tint="-0.249977111117893"/>
    <outlinePr summaryRight="0"/>
    <pageSetUpPr fitToPage="1"/>
  </sheetPr>
  <dimension ref="A1:AL125"/>
  <sheetViews>
    <sheetView zoomScale="115" zoomScaleNormal="115" workbookViewId="0">
      <pane xSplit="4" ySplit="4" topLeftCell="E5" activePane="bottomRight" state="frozen"/>
      <selection activeCell="C8" sqref="C8"/>
      <selection pane="topRight" activeCell="C8" sqref="C8"/>
      <selection pane="bottomLeft" activeCell="C8" sqref="C8"/>
      <selection pane="bottomRight" activeCell="A114" sqref="A114"/>
    </sheetView>
  </sheetViews>
  <sheetFormatPr defaultRowHeight="15" outlineLevelCol="1"/>
  <cols>
    <col min="1" max="1" width="11.5703125" style="20" customWidth="1"/>
    <col min="2" max="2" width="27.7109375" customWidth="1"/>
    <col min="3" max="3" width="11" style="14" customWidth="1"/>
    <col min="4" max="4" width="11" customWidth="1"/>
    <col min="5" max="5" width="2.28515625" customWidth="1"/>
    <col min="16" max="16" width="1.570312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8" ht="32.25">
      <c r="A1" s="651" t="s">
        <v>11</v>
      </c>
      <c r="B1" s="71"/>
      <c r="C1" s="367"/>
      <c r="D1" s="71"/>
      <c r="E1" s="71"/>
      <c r="F1" s="71"/>
      <c r="G1" s="71"/>
      <c r="H1" s="71"/>
      <c r="I1" s="15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354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621"/>
      <c r="AF1" s="622"/>
      <c r="AG1" s="623"/>
      <c r="AH1" s="268"/>
      <c r="AI1" s="71" t="s">
        <v>108</v>
      </c>
      <c r="AJ1" s="71" t="s">
        <v>109</v>
      </c>
      <c r="AK1" s="71" t="s">
        <v>110</v>
      </c>
      <c r="AL1" s="71" t="s">
        <v>111</v>
      </c>
    </row>
    <row r="2" spans="1:38">
      <c r="A2" s="77" t="str">
        <f>Паспорт_ФМ_резидент!B7</f>
        <v>Разработка, производство, модернизация и реализация …</v>
      </c>
      <c r="B2" s="71"/>
      <c r="C2" s="367"/>
      <c r="D2" s="71"/>
      <c r="E2" s="71"/>
      <c r="F2" s="347">
        <v>1</v>
      </c>
      <c r="G2" s="347">
        <v>2</v>
      </c>
      <c r="H2" s="347">
        <v>3</v>
      </c>
      <c r="I2" s="347">
        <v>4</v>
      </c>
      <c r="J2" s="347">
        <v>5</v>
      </c>
      <c r="K2" s="347">
        <v>6</v>
      </c>
      <c r="L2" s="347">
        <v>7</v>
      </c>
      <c r="M2" s="347">
        <v>8</v>
      </c>
      <c r="N2" s="347">
        <v>9</v>
      </c>
      <c r="O2" s="347">
        <v>10</v>
      </c>
      <c r="P2" s="71"/>
      <c r="Q2" s="156"/>
      <c r="R2" s="355">
        <v>11</v>
      </c>
      <c r="S2" s="355">
        <f>R2+1</f>
        <v>12</v>
      </c>
      <c r="T2" s="347">
        <f>S2+1</f>
        <v>13</v>
      </c>
      <c r="U2" s="347">
        <f t="shared" ref="U2:AA2" si="0">T2+1</f>
        <v>14</v>
      </c>
      <c r="V2" s="347">
        <f t="shared" si="0"/>
        <v>15</v>
      </c>
      <c r="W2" s="347">
        <f t="shared" si="0"/>
        <v>16</v>
      </c>
      <c r="X2" s="347">
        <f t="shared" si="0"/>
        <v>17</v>
      </c>
      <c r="Y2" s="347">
        <f t="shared" si="0"/>
        <v>18</v>
      </c>
      <c r="Z2" s="347">
        <f t="shared" si="0"/>
        <v>19</v>
      </c>
      <c r="AA2" s="347">
        <f t="shared" si="0"/>
        <v>20</v>
      </c>
      <c r="AB2" s="71"/>
      <c r="AC2" s="71"/>
      <c r="AD2" s="71"/>
      <c r="AE2" s="71">
        <v>28</v>
      </c>
      <c r="AF2" s="71">
        <v>236</v>
      </c>
      <c r="AG2" s="71">
        <v>163</v>
      </c>
      <c r="AH2" s="71">
        <v>246</v>
      </c>
      <c r="AI2" s="71" t="s">
        <v>107</v>
      </c>
      <c r="AJ2" s="71" t="s">
        <v>112</v>
      </c>
      <c r="AK2" s="71">
        <v>14</v>
      </c>
      <c r="AL2" s="71">
        <v>12</v>
      </c>
    </row>
    <row r="3" spans="1:38" s="18" customFormat="1">
      <c r="A3" s="78" t="s">
        <v>2</v>
      </c>
      <c r="B3" s="78" t="s">
        <v>3</v>
      </c>
      <c r="C3" s="127" t="s">
        <v>12</v>
      </c>
      <c r="D3" s="194" t="e">
        <f>CONCATENATE("Итого ",F3,"-",O3)</f>
        <v>#VALUE!</v>
      </c>
      <c r="E3" s="152"/>
      <c r="F3" s="127" t="e">
        <f>YEAR(Паспорт_ФМ_резидент!C36)</f>
        <v>#VALUE!</v>
      </c>
      <c r="G3" s="127" t="e">
        <f>F3+1</f>
        <v>#VALUE!</v>
      </c>
      <c r="H3" s="127" t="e">
        <f t="shared" ref="H3:O3" si="1">G3+1</f>
        <v>#VALUE!</v>
      </c>
      <c r="I3" s="127" t="e">
        <f t="shared" si="1"/>
        <v>#VALUE!</v>
      </c>
      <c r="J3" s="127" t="e">
        <f t="shared" si="1"/>
        <v>#VALUE!</v>
      </c>
      <c r="K3" s="127" t="e">
        <f t="shared" si="1"/>
        <v>#VALUE!</v>
      </c>
      <c r="L3" s="127" t="e">
        <f t="shared" si="1"/>
        <v>#VALUE!</v>
      </c>
      <c r="M3" s="127" t="e">
        <f t="shared" si="1"/>
        <v>#VALUE!</v>
      </c>
      <c r="N3" s="127" t="e">
        <f t="shared" si="1"/>
        <v>#VALUE!</v>
      </c>
      <c r="O3" s="127" t="e">
        <f t="shared" si="1"/>
        <v>#VALUE!</v>
      </c>
      <c r="P3" s="152"/>
      <c r="Q3" s="157"/>
      <c r="R3" s="160" t="e">
        <f>O3+1</f>
        <v>#VALUE!</v>
      </c>
      <c r="S3" s="160" t="e">
        <f>R3+1</f>
        <v>#VALUE!</v>
      </c>
      <c r="T3" s="160" t="e">
        <f>S3+1</f>
        <v>#VALUE!</v>
      </c>
      <c r="U3" s="160" t="e">
        <f t="shared" ref="U3:AA3" si="2">T3+1</f>
        <v>#VALUE!</v>
      </c>
      <c r="V3" s="160" t="e">
        <f t="shared" si="2"/>
        <v>#VALUE!</v>
      </c>
      <c r="W3" s="160" t="e">
        <f t="shared" si="2"/>
        <v>#VALUE!</v>
      </c>
      <c r="X3" s="160" t="e">
        <f t="shared" si="2"/>
        <v>#VALUE!</v>
      </c>
      <c r="Y3" s="160" t="e">
        <f t="shared" si="2"/>
        <v>#VALUE!</v>
      </c>
      <c r="Z3" s="160" t="e">
        <f t="shared" si="2"/>
        <v>#VALUE!</v>
      </c>
      <c r="AA3" s="160" t="e">
        <f t="shared" si="2"/>
        <v>#VALUE!</v>
      </c>
      <c r="AB3" s="152"/>
      <c r="AC3" s="152"/>
      <c r="AD3" s="152"/>
      <c r="AE3" s="71">
        <v>28</v>
      </c>
      <c r="AF3" s="71">
        <v>0</v>
      </c>
      <c r="AG3" s="71">
        <v>163</v>
      </c>
      <c r="AH3" s="71">
        <v>246</v>
      </c>
      <c r="AI3" s="71"/>
      <c r="AJ3" s="71"/>
      <c r="AK3" s="71"/>
      <c r="AL3" s="71"/>
    </row>
    <row r="4" spans="1:38" ht="8.1" customHeight="1">
      <c r="A4" s="602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71"/>
      <c r="Q4" s="156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  <c r="AE4" s="71">
        <v>28</v>
      </c>
      <c r="AF4" s="71">
        <v>79</v>
      </c>
      <c r="AG4" s="71">
        <v>163</v>
      </c>
      <c r="AH4" s="71">
        <v>248</v>
      </c>
      <c r="AI4" s="71"/>
      <c r="AJ4" s="71"/>
      <c r="AK4" s="71"/>
      <c r="AL4" s="71"/>
    </row>
    <row r="5" spans="1:38">
      <c r="A5" s="236"/>
      <c r="B5" s="206" t="s">
        <v>20</v>
      </c>
      <c r="C5" s="264" t="s">
        <v>19</v>
      </c>
      <c r="D5" s="223">
        <f>SUM(F5:R5)</f>
        <v>110</v>
      </c>
      <c r="E5" s="71"/>
      <c r="F5" s="225">
        <v>10</v>
      </c>
      <c r="G5" s="225">
        <v>10</v>
      </c>
      <c r="H5" s="225">
        <v>10</v>
      </c>
      <c r="I5" s="225">
        <v>10</v>
      </c>
      <c r="J5" s="225">
        <v>10</v>
      </c>
      <c r="K5" s="225">
        <v>10</v>
      </c>
      <c r="L5" s="225">
        <v>10</v>
      </c>
      <c r="M5" s="225">
        <v>10</v>
      </c>
      <c r="N5" s="225">
        <v>10</v>
      </c>
      <c r="O5" s="225">
        <v>10</v>
      </c>
      <c r="P5" s="71"/>
      <c r="Q5" s="156"/>
      <c r="R5" s="349">
        <v>10</v>
      </c>
      <c r="S5" s="349"/>
      <c r="T5" s="349"/>
      <c r="U5" s="349"/>
      <c r="V5" s="349"/>
      <c r="W5" s="349"/>
      <c r="X5" s="349"/>
      <c r="Y5" s="349"/>
      <c r="Z5" s="349"/>
      <c r="AA5" s="349"/>
      <c r="AB5" s="71"/>
      <c r="AC5" s="71"/>
      <c r="AD5" s="71"/>
    </row>
    <row r="6" spans="1:38">
      <c r="A6" s="236"/>
      <c r="B6" s="206"/>
      <c r="C6" s="370"/>
      <c r="D6" s="146"/>
      <c r="E6" s="71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71"/>
      <c r="Q6" s="156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8">
      <c r="A7" s="236"/>
      <c r="B7" s="206"/>
      <c r="C7" s="370"/>
      <c r="D7" s="146"/>
      <c r="E7" s="71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71"/>
      <c r="Q7" s="156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8">
      <c r="A8" s="236"/>
      <c r="B8" s="206"/>
      <c r="C8" s="370"/>
      <c r="D8" s="146"/>
      <c r="E8" s="71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71"/>
      <c r="Q8" s="156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8">
      <c r="A9" s="236"/>
      <c r="B9" s="206"/>
      <c r="C9" s="370"/>
      <c r="D9" s="146"/>
      <c r="E9" s="71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71"/>
      <c r="Q9" s="156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8">
      <c r="A10" s="236"/>
      <c r="B10" s="206"/>
      <c r="C10" s="370"/>
      <c r="D10" s="146"/>
      <c r="E10" s="71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71"/>
      <c r="Q10" s="156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8">
      <c r="A11" s="236"/>
      <c r="B11" s="206"/>
      <c r="C11" s="370"/>
      <c r="D11" s="146"/>
      <c r="E11" s="71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71"/>
      <c r="Q11" s="156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8">
      <c r="A12" s="236"/>
      <c r="B12" s="206"/>
      <c r="C12" s="370"/>
      <c r="D12" s="146"/>
      <c r="E12" s="71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71"/>
      <c r="Q12" s="156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8">
      <c r="A13" s="236"/>
      <c r="B13" s="206"/>
      <c r="C13" s="370"/>
      <c r="D13" s="146"/>
      <c r="E13" s="71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71"/>
      <c r="Q13" s="156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8">
      <c r="A14" s="236"/>
      <c r="B14" s="206"/>
      <c r="C14" s="370"/>
      <c r="D14" s="146"/>
      <c r="E14" s="71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71"/>
      <c r="Q14" s="156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8">
      <c r="A15" s="236"/>
      <c r="B15" s="146"/>
      <c r="C15" s="370"/>
      <c r="D15" s="146"/>
      <c r="E15" s="71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71"/>
      <c r="Q15" s="156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8">
      <c r="A16" s="236"/>
      <c r="B16" s="146"/>
      <c r="C16" s="370"/>
      <c r="D16" s="146"/>
      <c r="E16" s="71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71"/>
      <c r="Q16" s="156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30">
      <c r="A17" s="236"/>
      <c r="B17" s="146"/>
      <c r="C17" s="370"/>
      <c r="D17" s="146"/>
      <c r="E17" s="71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71"/>
      <c r="Q17" s="156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</row>
    <row r="18" spans="1:30">
      <c r="A18" s="236"/>
      <c r="B18" s="146"/>
      <c r="C18" s="370"/>
      <c r="D18" s="146"/>
      <c r="E18" s="71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71"/>
      <c r="Q18" s="156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</row>
    <row r="19" spans="1:30">
      <c r="A19" s="236"/>
      <c r="B19" s="146"/>
      <c r="C19" s="370"/>
      <c r="D19" s="146"/>
      <c r="E19" s="71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71"/>
      <c r="Q19" s="156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</row>
    <row r="20" spans="1:30">
      <c r="A20" s="236"/>
      <c r="B20" s="146"/>
      <c r="C20" s="370"/>
      <c r="D20" s="146"/>
      <c r="E20" s="71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71"/>
      <c r="Q20" s="156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</row>
    <row r="21" spans="1:30">
      <c r="A21" s="236"/>
      <c r="B21" s="146"/>
      <c r="C21" s="370"/>
      <c r="D21" s="146"/>
      <c r="E21" s="71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71"/>
      <c r="Q21" s="156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</row>
    <row r="22" spans="1:30">
      <c r="A22" s="236"/>
      <c r="B22" s="146"/>
      <c r="C22" s="370"/>
      <c r="D22" s="146"/>
      <c r="E22" s="71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71"/>
      <c r="Q22" s="156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</row>
    <row r="23" spans="1:30">
      <c r="A23" s="236"/>
      <c r="B23" s="146"/>
      <c r="C23" s="370"/>
      <c r="D23" s="146"/>
      <c r="E23" s="71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71"/>
      <c r="Q23" s="156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</row>
    <row r="24" spans="1:30">
      <c r="A24" s="236"/>
      <c r="B24" s="146"/>
      <c r="C24" s="370"/>
      <c r="D24" s="146"/>
      <c r="E24" s="71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71"/>
      <c r="Q24" s="156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</row>
    <row r="25" spans="1:30">
      <c r="A25" s="236"/>
      <c r="B25" s="146"/>
      <c r="C25" s="370"/>
      <c r="D25" s="146"/>
      <c r="E25" s="71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71"/>
      <c r="Q25" s="156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</row>
    <row r="26" spans="1:30">
      <c r="A26" s="236"/>
      <c r="B26" s="146"/>
      <c r="C26" s="370"/>
      <c r="D26" s="146"/>
      <c r="E26" s="71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71"/>
      <c r="Q26" s="156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</row>
    <row r="27" spans="1:30">
      <c r="A27" s="236"/>
      <c r="B27" s="146"/>
      <c r="C27" s="370"/>
      <c r="D27" s="146"/>
      <c r="E27" s="71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71"/>
      <c r="Q27" s="156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</row>
    <row r="28" spans="1:30">
      <c r="A28" s="236"/>
      <c r="B28" s="146"/>
      <c r="C28" s="370"/>
      <c r="D28" s="146"/>
      <c r="E28" s="71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71"/>
      <c r="Q28" s="156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</row>
    <row r="29" spans="1:30">
      <c r="A29" s="236"/>
      <c r="B29" s="146"/>
      <c r="C29" s="370"/>
      <c r="D29" s="146"/>
      <c r="E29" s="71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71"/>
      <c r="Q29" s="156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</row>
    <row r="30" spans="1:30">
      <c r="A30" s="236"/>
      <c r="B30" s="146"/>
      <c r="C30" s="370"/>
      <c r="D30" s="146"/>
      <c r="E30" s="71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71"/>
      <c r="Q30" s="156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</row>
    <row r="31" spans="1:30">
      <c r="A31" s="236"/>
      <c r="B31" s="146"/>
      <c r="C31" s="370"/>
      <c r="D31" s="146"/>
      <c r="E31" s="71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71"/>
      <c r="Q31" s="156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</row>
    <row r="32" spans="1:30">
      <c r="A32" s="236"/>
      <c r="B32" s="146"/>
      <c r="C32" s="370"/>
      <c r="D32" s="146"/>
      <c r="E32" s="71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71"/>
      <c r="Q32" s="156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</row>
    <row r="33" spans="1:30">
      <c r="A33" s="236"/>
      <c r="B33" s="146"/>
      <c r="C33" s="370"/>
      <c r="D33" s="146"/>
      <c r="E33" s="71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71"/>
      <c r="Q33" s="156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</row>
    <row r="34" spans="1:30">
      <c r="A34" s="236"/>
      <c r="B34" s="146"/>
      <c r="C34" s="370"/>
      <c r="D34" s="146"/>
      <c r="E34" s="71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71"/>
      <c r="Q34" s="156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</row>
    <row r="35" spans="1:30">
      <c r="A35" s="236"/>
      <c r="B35" s="146"/>
      <c r="C35" s="370"/>
      <c r="D35" s="146"/>
      <c r="E35" s="71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71"/>
      <c r="Q35" s="156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</row>
    <row r="36" spans="1:30">
      <c r="A36" s="236"/>
      <c r="B36" s="146"/>
      <c r="C36" s="370"/>
      <c r="D36" s="146"/>
      <c r="E36" s="71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71"/>
      <c r="Q36" s="156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</row>
    <row r="37" spans="1:30">
      <c r="A37" s="236"/>
      <c r="B37" s="146"/>
      <c r="C37" s="370"/>
      <c r="D37" s="146"/>
      <c r="E37" s="71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71"/>
      <c r="Q37" s="156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</row>
    <row r="38" spans="1:30">
      <c r="A38" s="236"/>
      <c r="B38" s="146"/>
      <c r="C38" s="370"/>
      <c r="D38" s="146"/>
      <c r="E38" s="71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71"/>
      <c r="Q38" s="156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</row>
    <row r="39" spans="1:30">
      <c r="A39" s="236"/>
      <c r="B39" s="146"/>
      <c r="C39" s="370"/>
      <c r="D39" s="146"/>
      <c r="E39" s="71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71"/>
      <c r="Q39" s="156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</row>
    <row r="40" spans="1:30">
      <c r="A40" s="236"/>
      <c r="B40" s="146"/>
      <c r="C40" s="370"/>
      <c r="D40" s="146"/>
      <c r="E40" s="71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71"/>
      <c r="Q40" s="156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</row>
    <row r="41" spans="1:30">
      <c r="A41" s="236"/>
      <c r="B41" s="146"/>
      <c r="C41" s="370"/>
      <c r="D41" s="146"/>
      <c r="E41" s="71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71"/>
      <c r="Q41" s="156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</row>
    <row r="42" spans="1:30">
      <c r="A42" s="236"/>
      <c r="B42" s="146"/>
      <c r="C42" s="370"/>
      <c r="D42" s="146"/>
      <c r="E42" s="71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71"/>
      <c r="Q42" s="156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</row>
    <row r="43" spans="1:30">
      <c r="A43" s="236"/>
      <c r="B43" s="146"/>
      <c r="C43" s="370"/>
      <c r="D43" s="146"/>
      <c r="E43" s="71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71"/>
      <c r="Q43" s="156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</row>
    <row r="44" spans="1:30">
      <c r="A44" s="236"/>
      <c r="B44" s="146"/>
      <c r="C44" s="370"/>
      <c r="D44" s="146"/>
      <c r="E44" s="71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71"/>
      <c r="Q44" s="156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</row>
    <row r="45" spans="1:30">
      <c r="A45" s="236"/>
      <c r="B45" s="146"/>
      <c r="C45" s="370"/>
      <c r="D45" s="146"/>
      <c r="E45" s="71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71"/>
      <c r="Q45" s="156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</row>
    <row r="46" spans="1:30">
      <c r="A46" s="236"/>
      <c r="B46" s="146"/>
      <c r="C46" s="370"/>
      <c r="D46" s="146"/>
      <c r="E46" s="71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71"/>
      <c r="Q46" s="156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</row>
    <row r="47" spans="1:30">
      <c r="A47" s="236"/>
      <c r="B47" s="146"/>
      <c r="C47" s="370"/>
      <c r="D47" s="146"/>
      <c r="E47" s="71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71"/>
      <c r="Q47" s="156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</row>
    <row r="48" spans="1:30">
      <c r="A48" s="236"/>
      <c r="B48" s="146"/>
      <c r="C48" s="370"/>
      <c r="D48" s="146"/>
      <c r="E48" s="71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71"/>
      <c r="Q48" s="156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</row>
    <row r="49" spans="1:30">
      <c r="A49" s="236"/>
      <c r="B49" s="146"/>
      <c r="C49" s="370"/>
      <c r="D49" s="146"/>
      <c r="E49" s="71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71"/>
      <c r="Q49" s="156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</row>
    <row r="50" spans="1:30">
      <c r="A50" s="236"/>
      <c r="B50" s="146"/>
      <c r="C50" s="370"/>
      <c r="D50" s="146"/>
      <c r="E50" s="71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71"/>
      <c r="Q50" s="156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</row>
    <row r="51" spans="1:30">
      <c r="A51" s="236"/>
      <c r="B51" s="146"/>
      <c r="C51" s="370"/>
      <c r="D51" s="146"/>
      <c r="E51" s="71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71"/>
      <c r="Q51" s="156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</row>
    <row r="52" spans="1:30">
      <c r="A52" s="236"/>
      <c r="B52" s="146"/>
      <c r="C52" s="370"/>
      <c r="D52" s="146"/>
      <c r="E52" s="71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71"/>
      <c r="Q52" s="156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</row>
    <row r="53" spans="1:30">
      <c r="A53" s="236"/>
      <c r="B53" s="146"/>
      <c r="C53" s="370"/>
      <c r="D53" s="146"/>
      <c r="E53" s="71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71"/>
      <c r="Q53" s="156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</row>
    <row r="54" spans="1:30">
      <c r="A54" s="236"/>
      <c r="B54" s="146"/>
      <c r="C54" s="370"/>
      <c r="D54" s="146"/>
      <c r="E54" s="71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71"/>
      <c r="Q54" s="156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</row>
    <row r="55" spans="1:30">
      <c r="A55" s="236"/>
      <c r="B55" s="146"/>
      <c r="C55" s="370"/>
      <c r="D55" s="146"/>
      <c r="E55" s="71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71"/>
      <c r="Q55" s="156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</row>
    <row r="56" spans="1:30">
      <c r="A56" s="236"/>
      <c r="B56" s="146"/>
      <c r="C56" s="370"/>
      <c r="D56" s="146"/>
      <c r="E56" s="71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71"/>
      <c r="Q56" s="156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</row>
    <row r="57" spans="1:30">
      <c r="A57" s="236"/>
      <c r="B57" s="146"/>
      <c r="C57" s="370"/>
      <c r="D57" s="146"/>
      <c r="E57" s="71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71"/>
      <c r="Q57" s="156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</row>
    <row r="58" spans="1:30">
      <c r="A58" s="236"/>
      <c r="B58" s="146"/>
      <c r="C58" s="370"/>
      <c r="D58" s="146"/>
      <c r="E58" s="71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71"/>
      <c r="Q58" s="156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</row>
    <row r="59" spans="1:30">
      <c r="A59" s="236"/>
      <c r="B59" s="146"/>
      <c r="C59" s="370"/>
      <c r="D59" s="146"/>
      <c r="E59" s="71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71"/>
      <c r="Q59" s="156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</row>
    <row r="60" spans="1:30">
      <c r="A60" s="236"/>
      <c r="B60" s="146"/>
      <c r="C60" s="370"/>
      <c r="D60" s="146"/>
      <c r="E60" s="71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71"/>
      <c r="Q60" s="156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</row>
    <row r="61" spans="1:30">
      <c r="A61" s="236"/>
      <c r="B61" s="146"/>
      <c r="C61" s="370"/>
      <c r="D61" s="146"/>
      <c r="E61" s="71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71"/>
      <c r="Q61" s="156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</row>
    <row r="62" spans="1:30">
      <c r="A62" s="236"/>
      <c r="B62" s="146"/>
      <c r="C62" s="370"/>
      <c r="D62" s="146"/>
      <c r="E62" s="71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71"/>
      <c r="Q62" s="156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</row>
    <row r="63" spans="1:30">
      <c r="A63" s="236"/>
      <c r="B63" s="146"/>
      <c r="C63" s="370"/>
      <c r="D63" s="146"/>
      <c r="E63" s="71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71"/>
      <c r="Q63" s="156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</row>
    <row r="64" spans="1:30">
      <c r="A64" s="236"/>
      <c r="B64" s="146"/>
      <c r="C64" s="370"/>
      <c r="D64" s="146"/>
      <c r="E64" s="7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71"/>
      <c r="Q64" s="156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</row>
    <row r="65" spans="1:30">
      <c r="A65" s="236"/>
      <c r="B65" s="146"/>
      <c r="C65" s="370"/>
      <c r="D65" s="146"/>
      <c r="E65" s="71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71"/>
      <c r="Q65" s="156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</row>
    <row r="66" spans="1:30">
      <c r="A66" s="236"/>
      <c r="B66" s="146"/>
      <c r="C66" s="370"/>
      <c r="D66" s="146"/>
      <c r="E66" s="71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71"/>
      <c r="Q66" s="156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</row>
    <row r="67" spans="1:30">
      <c r="A67" s="236"/>
      <c r="B67" s="146"/>
      <c r="C67" s="370"/>
      <c r="D67" s="146"/>
      <c r="E67" s="71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71"/>
      <c r="Q67" s="156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</row>
    <row r="68" spans="1:30">
      <c r="A68" s="236"/>
      <c r="B68" s="146"/>
      <c r="C68" s="370"/>
      <c r="D68" s="146"/>
      <c r="E68" s="71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71"/>
      <c r="Q68" s="156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</row>
    <row r="69" spans="1:30">
      <c r="A69" s="236"/>
      <c r="B69" s="146"/>
      <c r="C69" s="370"/>
      <c r="D69" s="146"/>
      <c r="E69" s="71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71"/>
      <c r="Q69" s="156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</row>
    <row r="70" spans="1:30">
      <c r="A70" s="236"/>
      <c r="B70" s="146"/>
      <c r="C70" s="370"/>
      <c r="D70" s="146"/>
      <c r="E70" s="7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71"/>
      <c r="Q70" s="156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</row>
    <row r="71" spans="1:30">
      <c r="A71" s="236"/>
      <c r="B71" s="146"/>
      <c r="C71" s="370"/>
      <c r="D71" s="146"/>
      <c r="E71" s="71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71"/>
      <c r="Q71" s="156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</row>
    <row r="72" spans="1:30">
      <c r="A72" s="236"/>
      <c r="B72" s="146"/>
      <c r="C72" s="370"/>
      <c r="D72" s="146"/>
      <c r="E72" s="71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71"/>
      <c r="Q72" s="156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</row>
    <row r="73" spans="1:30">
      <c r="A73" s="236"/>
      <c r="B73" s="146"/>
      <c r="C73" s="370"/>
      <c r="D73" s="146"/>
      <c r="E73" s="71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71"/>
      <c r="Q73" s="156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</row>
    <row r="74" spans="1:30">
      <c r="A74" s="236"/>
      <c r="B74" s="146"/>
      <c r="C74" s="370"/>
      <c r="D74" s="146"/>
      <c r="E74" s="71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71"/>
      <c r="Q74" s="156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</row>
    <row r="75" spans="1:30">
      <c r="A75" s="236"/>
      <c r="B75" s="146"/>
      <c r="C75" s="370"/>
      <c r="D75" s="146"/>
      <c r="E75" s="71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71"/>
      <c r="Q75" s="156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</row>
    <row r="76" spans="1:30">
      <c r="A76" s="236"/>
      <c r="B76" s="146"/>
      <c r="C76" s="370"/>
      <c r="D76" s="146"/>
      <c r="E76" s="71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71"/>
      <c r="Q76" s="156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</row>
    <row r="77" spans="1:30">
      <c r="A77" s="236"/>
      <c r="B77" s="146"/>
      <c r="C77" s="370"/>
      <c r="D77" s="146"/>
      <c r="E77" s="71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71"/>
      <c r="Q77" s="156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</row>
    <row r="78" spans="1:30">
      <c r="A78" s="236"/>
      <c r="B78" s="146"/>
      <c r="C78" s="370"/>
      <c r="D78" s="146"/>
      <c r="E78" s="71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71"/>
      <c r="Q78" s="156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</row>
    <row r="79" spans="1:30">
      <c r="A79" s="236"/>
      <c r="B79" s="146"/>
      <c r="C79" s="370"/>
      <c r="D79" s="146"/>
      <c r="E79" s="71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71"/>
      <c r="Q79" s="156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</row>
    <row r="80" spans="1:30">
      <c r="A80" s="236"/>
      <c r="B80" s="146"/>
      <c r="C80" s="370"/>
      <c r="D80" s="146"/>
      <c r="E80" s="71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71"/>
      <c r="Q80" s="156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</row>
    <row r="81" spans="1:30">
      <c r="A81" s="236"/>
      <c r="B81" s="146"/>
      <c r="C81" s="370"/>
      <c r="D81" s="146"/>
      <c r="E81" s="71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71"/>
      <c r="Q81" s="156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</row>
    <row r="82" spans="1:30">
      <c r="A82" s="236"/>
      <c r="B82" s="146"/>
      <c r="C82" s="370"/>
      <c r="D82" s="146"/>
      <c r="E82" s="71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71"/>
      <c r="Q82" s="156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</row>
    <row r="83" spans="1:30">
      <c r="A83" s="236"/>
      <c r="B83" s="146"/>
      <c r="C83" s="370"/>
      <c r="D83" s="146"/>
      <c r="E83" s="71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71"/>
      <c r="Q83" s="156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</row>
    <row r="84" spans="1:30">
      <c r="A84" s="236"/>
      <c r="B84" s="146"/>
      <c r="C84" s="370"/>
      <c r="D84" s="146"/>
      <c r="E84" s="71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71"/>
      <c r="Q84" s="156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</row>
    <row r="85" spans="1:30">
      <c r="A85" s="236"/>
      <c r="B85" s="146"/>
      <c r="C85" s="370"/>
      <c r="D85" s="146"/>
      <c r="E85" s="71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71"/>
      <c r="Q85" s="156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</row>
    <row r="86" spans="1:30">
      <c r="A86" s="236"/>
      <c r="B86" s="146"/>
      <c r="C86" s="370"/>
      <c r="D86" s="146"/>
      <c r="E86" s="71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71"/>
      <c r="Q86" s="156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</row>
    <row r="87" spans="1:30">
      <c r="A87" s="236"/>
      <c r="B87" s="146"/>
      <c r="C87" s="370"/>
      <c r="D87" s="146"/>
      <c r="E87" s="71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71"/>
      <c r="Q87" s="156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</row>
    <row r="88" spans="1:30">
      <c r="A88" s="236"/>
      <c r="B88" s="146"/>
      <c r="C88" s="370"/>
      <c r="D88" s="146"/>
      <c r="E88" s="71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71"/>
      <c r="Q88" s="156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</row>
    <row r="89" spans="1:30">
      <c r="A89" s="236"/>
      <c r="B89" s="146"/>
      <c r="C89" s="370"/>
      <c r="D89" s="146"/>
      <c r="E89" s="71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71"/>
      <c r="Q89" s="156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</row>
    <row r="90" spans="1:30">
      <c r="A90" s="236"/>
      <c r="B90" s="146"/>
      <c r="C90" s="370"/>
      <c r="D90" s="146"/>
      <c r="E90" s="71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71"/>
      <c r="Q90" s="156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</row>
    <row r="91" spans="1:30">
      <c r="A91" s="236"/>
      <c r="B91" s="146"/>
      <c r="C91" s="370"/>
      <c r="D91" s="146"/>
      <c r="E91" s="71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71"/>
      <c r="Q91" s="156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</row>
    <row r="92" spans="1:30">
      <c r="A92" s="236"/>
      <c r="B92" s="146"/>
      <c r="C92" s="370"/>
      <c r="D92" s="146"/>
      <c r="E92" s="71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71"/>
      <c r="Q92" s="156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</row>
    <row r="93" spans="1:30">
      <c r="A93" s="236"/>
      <c r="B93" s="146"/>
      <c r="C93" s="370"/>
      <c r="D93" s="146"/>
      <c r="E93" s="71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71"/>
      <c r="Q93" s="156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</row>
    <row r="94" spans="1:30">
      <c r="A94" s="236"/>
      <c r="B94" s="146"/>
      <c r="C94" s="370"/>
      <c r="D94" s="146"/>
      <c r="E94" s="71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71"/>
      <c r="Q94" s="156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</row>
    <row r="95" spans="1:30">
      <c r="A95" s="236"/>
      <c r="B95" s="146"/>
      <c r="C95" s="370"/>
      <c r="D95" s="146"/>
      <c r="E95" s="71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71"/>
      <c r="Q95" s="156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</row>
    <row r="96" spans="1:30">
      <c r="A96" s="236"/>
      <c r="B96" s="146"/>
      <c r="C96" s="370"/>
      <c r="D96" s="146"/>
      <c r="E96" s="71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71"/>
      <c r="Q96" s="156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</row>
    <row r="97" spans="1:30">
      <c r="A97" s="236"/>
      <c r="B97" s="146"/>
      <c r="C97" s="370"/>
      <c r="D97" s="146"/>
      <c r="E97" s="71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71"/>
      <c r="Q97" s="156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</row>
    <row r="98" spans="1:30">
      <c r="A98" s="236"/>
      <c r="B98" s="146"/>
      <c r="C98" s="370"/>
      <c r="D98" s="146"/>
      <c r="E98" s="71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71"/>
      <c r="Q98" s="156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</row>
    <row r="99" spans="1:30">
      <c r="A99" s="236"/>
      <c r="B99" s="146"/>
      <c r="C99" s="370"/>
      <c r="D99" s="146"/>
      <c r="E99" s="71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71"/>
      <c r="Q99" s="156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</row>
    <row r="100" spans="1:30">
      <c r="A100" s="236"/>
      <c r="B100" s="146"/>
      <c r="C100" s="370"/>
      <c r="D100" s="146"/>
      <c r="E100" s="71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71"/>
      <c r="Q100" s="156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</row>
    <row r="101" spans="1:30">
      <c r="A101" s="236"/>
      <c r="B101" s="146"/>
      <c r="C101" s="370"/>
      <c r="D101" s="146"/>
      <c r="E101" s="71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71"/>
      <c r="Q101" s="156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</row>
    <row r="102" spans="1:30">
      <c r="A102" s="236"/>
      <c r="B102" s="146"/>
      <c r="C102" s="370"/>
      <c r="D102" s="146"/>
      <c r="E102" s="71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71"/>
      <c r="Q102" s="156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</row>
    <row r="103" spans="1:30">
      <c r="A103" s="236"/>
      <c r="B103" s="146"/>
      <c r="C103" s="370"/>
      <c r="D103" s="146"/>
      <c r="E103" s="71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71"/>
      <c r="Q103" s="156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</row>
    <row r="104" spans="1:30">
      <c r="A104" s="236"/>
      <c r="B104" s="146"/>
      <c r="C104" s="370"/>
      <c r="D104" s="146"/>
      <c r="E104" s="71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71"/>
      <c r="Q104" s="156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</row>
    <row r="105" spans="1:30">
      <c r="A105" s="236"/>
      <c r="B105" s="146"/>
      <c r="C105" s="370"/>
      <c r="D105" s="146"/>
      <c r="E105" s="71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71"/>
      <c r="Q105" s="156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</row>
    <row r="106" spans="1:30">
      <c r="A106" s="236"/>
      <c r="B106" s="146"/>
      <c r="C106" s="370"/>
      <c r="D106" s="146"/>
      <c r="E106" s="71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71"/>
      <c r="Q106" s="156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</row>
    <row r="107" spans="1:30">
      <c r="A107" s="236"/>
      <c r="B107" s="146"/>
      <c r="C107" s="370"/>
      <c r="D107" s="146"/>
      <c r="E107" s="71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71"/>
      <c r="Q107" s="156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</row>
    <row r="108" spans="1:30">
      <c r="A108" s="236"/>
      <c r="B108" s="146"/>
      <c r="C108" s="370"/>
      <c r="D108" s="146"/>
      <c r="E108" s="71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71"/>
      <c r="Q108" s="156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</row>
    <row r="109" spans="1:30">
      <c r="A109" s="236"/>
      <c r="B109" s="146"/>
      <c r="C109" s="370"/>
      <c r="D109" s="146"/>
      <c r="E109" s="71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71"/>
      <c r="Q109" s="156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</row>
    <row r="110" spans="1:30">
      <c r="A110" s="236"/>
      <c r="B110" s="146"/>
      <c r="C110" s="370"/>
      <c r="D110" s="146"/>
      <c r="E110" s="71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71"/>
      <c r="Q110" s="156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</row>
    <row r="111" spans="1:30">
      <c r="A111" s="236"/>
      <c r="B111" s="146"/>
      <c r="C111" s="370"/>
      <c r="D111" s="146"/>
      <c r="E111" s="71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71"/>
      <c r="Q111" s="156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</row>
    <row r="112" spans="1:30">
      <c r="A112" s="236"/>
      <c r="B112" s="146"/>
      <c r="C112" s="370"/>
      <c r="D112" s="146"/>
      <c r="E112" s="71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71"/>
      <c r="Q112" s="156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</row>
    <row r="113" spans="1:30">
      <c r="A113" s="236"/>
      <c r="B113" s="146"/>
      <c r="C113" s="370"/>
      <c r="D113" s="146"/>
      <c r="E113" s="71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71"/>
      <c r="Q113" s="156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</row>
    <row r="114" spans="1:30">
      <c r="A114" s="236"/>
      <c r="B114" s="146"/>
      <c r="C114" s="370"/>
      <c r="D114" s="146"/>
      <c r="E114" s="71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71"/>
      <c r="Q114" s="156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</row>
    <row r="115" spans="1:30">
      <c r="A115" s="236"/>
      <c r="B115" s="146"/>
      <c r="C115" s="370"/>
      <c r="D115" s="146"/>
      <c r="E115" s="71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71"/>
      <c r="Q115" s="156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</row>
    <row r="116" spans="1:30">
      <c r="A116" s="236"/>
      <c r="B116" s="146"/>
      <c r="C116" s="370"/>
      <c r="D116" s="146"/>
      <c r="E116" s="71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71"/>
      <c r="Q116" s="156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</row>
    <row r="118" spans="1:30">
      <c r="B118" s="169" t="str">
        <f t="array" aca="1" ref="B118" ca="1">HYPERLINK(CELL("адрес",БДР!$A$1),"Перейти на лист БДР")</f>
        <v>Перейти на лист БДР</v>
      </c>
    </row>
    <row r="119" spans="1:30">
      <c r="B119" s="169" t="str">
        <f t="array" aca="1" ref="B119" ca="1">HYPERLINK(CELL("адрес",БДДС!$A$1),"Перейти на лист БДДС")</f>
        <v>Перейти на лист БДДС</v>
      </c>
    </row>
    <row r="120" spans="1:30">
      <c r="B120" s="169" t="str">
        <f t="array" aca="1" ref="B120" ca="1">HYPERLINK(CELL("адрес",Баланс!$A$1),"Перейти на лист Баланс")</f>
        <v>Перейти на лист Баланс</v>
      </c>
    </row>
    <row r="121" spans="1:30">
      <c r="B121" s="169" t="str">
        <f t="array" aca="1" ref="B121" ca="1">HYPERLINK(CELL("адрес",Дашборд_ИтогТабл!$A$1),"Перейти на лист Дашборд_1")</f>
        <v>Перейти на лист Дашборд_1</v>
      </c>
    </row>
    <row r="122" spans="1:30" ht="30">
      <c r="B122" s="169" t="str">
        <f t="array" aca="1" ref="B122" ca="1">HYPERLINK(CELL("адрес",Дашборд_Основной!$A$1),"Перейти на лист Дашборд_Общий")</f>
        <v>Перейти на лист Дашборд_Общий</v>
      </c>
    </row>
    <row r="123" spans="1:30" ht="30">
      <c r="B123" s="169" t="str">
        <f t="array" aca="1" ref="B123" ca="1">HYPERLINK(CELL("адрес",Дашборд_налоги!$A$1),"Перейти на лист Дашборд_Налоги")</f>
        <v>Перейти на лист Дашборд_Налоги</v>
      </c>
    </row>
    <row r="124" spans="1:30">
      <c r="B124" s="2"/>
    </row>
    <row r="125" spans="1:30">
      <c r="B125" s="2"/>
    </row>
  </sheetData>
  <hyperlinks>
    <hyperlink ref="I1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theme="2" tint="-0.249977111117893"/>
    <outlinePr summaryRight="0"/>
    <pageSetUpPr fitToPage="1"/>
  </sheetPr>
  <dimension ref="A1:U57"/>
  <sheetViews>
    <sheetView showGridLines="0" zoomScale="85" zoomScaleNormal="85" workbookViewId="0">
      <pane xSplit="1" ySplit="2" topLeftCell="B3" activePane="bottomRight" state="frozen"/>
      <selection activeCell="C8" sqref="C8"/>
      <selection pane="topRight" activeCell="C8" sqref="C8"/>
      <selection pane="bottomLeft" activeCell="C8" sqref="C8"/>
      <selection pane="bottomRight"/>
    </sheetView>
  </sheetViews>
  <sheetFormatPr defaultColWidth="0" defaultRowHeight="15" zeroHeight="1"/>
  <cols>
    <col min="1" max="1" width="3.7109375" style="22" customWidth="1"/>
    <col min="2" max="2" width="11" style="21" customWidth="1"/>
    <col min="3" max="3" width="11" style="19" customWidth="1"/>
    <col min="4" max="20" width="8.85546875" style="19" customWidth="1"/>
    <col min="21" max="21" width="0" style="19" hidden="1" customWidth="1"/>
    <col min="22" max="16384" width="8.85546875" style="19" hidden="1"/>
  </cols>
  <sheetData>
    <row r="1" spans="1:17" ht="18.75">
      <c r="A1" s="656" t="s">
        <v>296</v>
      </c>
      <c r="B1" s="627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624" t="str">
        <f ca="1">Контроль!$Q$1</f>
        <v>Ошибок нет</v>
      </c>
      <c r="O1" s="156"/>
      <c r="P1" s="156"/>
      <c r="Q1" s="624"/>
    </row>
    <row r="2" spans="1:17">
      <c r="A2" s="625" t="str">
        <f>Паспорт_ФМ_резидент!B7</f>
        <v>Разработка, производство, модернизация и реализация …</v>
      </c>
      <c r="B2" s="627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>
      <c r="A3" s="626"/>
      <c r="B3" s="627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</row>
    <row r="4" spans="1:17">
      <c r="A4" s="626"/>
      <c r="B4" s="627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7">
      <c r="A5" s="626"/>
      <c r="B5" s="627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7">
      <c r="A6" s="626"/>
      <c r="B6" s="627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</row>
    <row r="7" spans="1:17">
      <c r="A7" s="626"/>
      <c r="B7" s="627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</row>
    <row r="8" spans="1:17">
      <c r="A8" s="626"/>
      <c r="B8" s="627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</row>
    <row r="9" spans="1:17">
      <c r="A9" s="626"/>
      <c r="B9" s="627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</row>
    <row r="10" spans="1:17">
      <c r="A10" s="626"/>
      <c r="B10" s="627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</row>
    <row r="11" spans="1:17">
      <c r="A11" s="626"/>
      <c r="B11" s="627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</row>
    <row r="12" spans="1:17">
      <c r="A12" s="626"/>
      <c r="B12" s="627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</row>
    <row r="13" spans="1:17">
      <c r="A13" s="626"/>
      <c r="B13" s="627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</row>
    <row r="14" spans="1:17">
      <c r="A14" s="626"/>
      <c r="B14" s="627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</row>
    <row r="15" spans="1:17">
      <c r="A15" s="626"/>
      <c r="B15" s="627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</row>
    <row r="16" spans="1:17">
      <c r="A16" s="626"/>
      <c r="B16" s="627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</row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</sheetData>
  <hyperlinks>
    <hyperlink ref="N1" location="Контроль!A1" display="Контроль!A1"/>
  </hyperlinks>
  <printOptions horizontalCentered="1" verticalCentered="1"/>
  <pageMargins left="0.25" right="0.25" top="0.75" bottom="0.75" header="0.3" footer="0.3"/>
  <pageSetup paperSize="9" scale="58" orientation="landscape" r:id="rId1"/>
  <headerFooter>
    <oddFooter>&amp;C&amp;9Страница  &amp;P из &amp;N&amp;R&amp;G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7">
    <tabColor theme="2" tint="-0.249977111117893"/>
    <pageSetUpPr fitToPage="1"/>
  </sheetPr>
  <dimension ref="A1:I186"/>
  <sheetViews>
    <sheetView zoomScale="115" zoomScaleNormal="115" workbookViewId="0">
      <pane xSplit="1" ySplit="5" topLeftCell="B6" activePane="bottomRight" state="frozen"/>
      <selection activeCell="C8" sqref="C8"/>
      <selection pane="topRight" activeCell="C8" sqref="C8"/>
      <selection pane="bottomLeft" activeCell="C8" sqref="C8"/>
      <selection pane="bottomRight" activeCell="G12" sqref="G12"/>
    </sheetView>
  </sheetViews>
  <sheetFormatPr defaultColWidth="0" defaultRowHeight="15" zeroHeight="1"/>
  <cols>
    <col min="1" max="1" width="10.5703125" customWidth="1"/>
    <col min="2" max="2" width="68" style="23" customWidth="1"/>
    <col min="3" max="3" width="18.28515625" style="20" customWidth="1"/>
    <col min="5" max="5" width="30.28515625" style="7" customWidth="1"/>
    <col min="6" max="6" width="12.28515625" style="7" customWidth="1"/>
    <col min="7" max="7" width="6.85546875" style="7" customWidth="1"/>
    <col min="8" max="8" width="5.140625" customWidth="1"/>
    <col min="9" max="9" width="0" hidden="1" customWidth="1"/>
    <col min="10" max="16384" width="8.85546875" hidden="1"/>
  </cols>
  <sheetData>
    <row r="1" spans="1:7" ht="18.75">
      <c r="A1" s="657" t="s">
        <v>378</v>
      </c>
      <c r="B1" s="638"/>
      <c r="C1" s="112"/>
      <c r="D1" s="71"/>
      <c r="E1" s="644" t="s">
        <v>404</v>
      </c>
      <c r="F1" s="629">
        <f>COUNTA(G6:G43)</f>
        <v>19</v>
      </c>
      <c r="G1" s="99"/>
    </row>
    <row r="2" spans="1:7" ht="25.5" customHeight="1">
      <c r="A2" s="152" t="str">
        <f>Паспорт_ФМ_резидент!B7</f>
        <v>Разработка, производство, модернизация и реализация …</v>
      </c>
      <c r="B2" s="638"/>
      <c r="C2" s="641"/>
      <c r="D2" s="71"/>
      <c r="E2" s="644" t="s">
        <v>388</v>
      </c>
      <c r="F2" s="629">
        <f>COUNTIF(G6:G43,TRUE)</f>
        <v>0</v>
      </c>
      <c r="G2" s="99"/>
    </row>
    <row r="3" spans="1:7" ht="13.5" customHeight="1">
      <c r="A3" s="634"/>
      <c r="B3" s="636"/>
      <c r="C3" s="100" t="str">
        <f ca="1">Контроль!$Q$1</f>
        <v>Ошибок нет</v>
      </c>
      <c r="D3" s="71"/>
      <c r="E3" s="363"/>
      <c r="F3" s="99"/>
      <c r="G3" s="632"/>
    </row>
    <row r="4" spans="1:7" ht="30.6" customHeight="1">
      <c r="A4" s="92" t="s">
        <v>2</v>
      </c>
      <c r="B4" s="92" t="s">
        <v>405</v>
      </c>
      <c r="C4" s="92" t="s">
        <v>218</v>
      </c>
      <c r="D4" s="164"/>
      <c r="E4" s="92" t="s">
        <v>379</v>
      </c>
      <c r="F4" s="630" t="s">
        <v>431</v>
      </c>
      <c r="G4" s="633"/>
    </row>
    <row r="5" spans="1:7" s="9" customFormat="1" ht="4.1500000000000004" customHeight="1">
      <c r="A5" s="635"/>
      <c r="B5" s="639"/>
      <c r="C5" s="112"/>
      <c r="D5" s="635"/>
      <c r="E5" s="645"/>
      <c r="F5" s="631"/>
      <c r="G5" s="108"/>
    </row>
    <row r="6" spans="1:7" ht="69.599999999999994" customHeight="1">
      <c r="A6" s="634" t="s">
        <v>380</v>
      </c>
      <c r="B6" s="636" t="s">
        <v>381</v>
      </c>
      <c r="C6" s="642" t="str">
        <f t="array" aca="1" ref="C6" ca="1">HYPERLINK(CELL("адрес",Структура!$A$1),"перейти")</f>
        <v>перейти</v>
      </c>
      <c r="D6" s="71"/>
      <c r="E6" s="628" t="s">
        <v>382</v>
      </c>
      <c r="F6" s="99"/>
      <c r="G6" s="632" t="b">
        <v>0</v>
      </c>
    </row>
    <row r="7" spans="1:7" ht="7.5" customHeight="1">
      <c r="A7" s="634"/>
      <c r="B7" s="636"/>
      <c r="C7" s="642"/>
      <c r="D7" s="71"/>
      <c r="E7" s="628"/>
      <c r="F7" s="99"/>
      <c r="G7" s="632"/>
    </row>
    <row r="8" spans="1:7" ht="24.95" customHeight="1">
      <c r="A8" s="634" t="s">
        <v>383</v>
      </c>
      <c r="B8" s="636" t="s">
        <v>384</v>
      </c>
      <c r="C8" s="642" t="str">
        <f t="array" aca="1" ref="C8" ca="1">HYPERLINK(CELL("адрес",Макро!$A$1),"перейти")</f>
        <v>перейти</v>
      </c>
      <c r="D8" s="71"/>
      <c r="E8" s="628" t="s">
        <v>399</v>
      </c>
      <c r="F8" s="99"/>
      <c r="G8" s="632" t="b">
        <v>0</v>
      </c>
    </row>
    <row r="9" spans="1:7" ht="7.5" customHeight="1">
      <c r="A9" s="634"/>
      <c r="B9" s="636"/>
      <c r="C9" s="642"/>
      <c r="D9" s="71"/>
      <c r="E9" s="628"/>
      <c r="F9" s="99"/>
      <c r="G9" s="632"/>
    </row>
    <row r="10" spans="1:7" ht="24.95" customHeight="1">
      <c r="A10" s="634" t="s">
        <v>386</v>
      </c>
      <c r="B10" s="636" t="s">
        <v>385</v>
      </c>
      <c r="C10" s="642" t="str">
        <f t="array" aca="1" ref="C10" ca="1">HYPERLINK(CELL("адрес",Исходные!$A$1),"перейти")</f>
        <v>перейти</v>
      </c>
      <c r="D10" s="71"/>
      <c r="E10" s="628"/>
      <c r="F10" s="99"/>
      <c r="G10" s="632" t="b">
        <v>0</v>
      </c>
    </row>
    <row r="11" spans="1:7" ht="7.5" customHeight="1">
      <c r="A11" s="634"/>
      <c r="B11" s="636"/>
      <c r="C11" s="642"/>
      <c r="D11" s="71"/>
      <c r="E11" s="628"/>
      <c r="F11" s="99"/>
      <c r="G11" s="632"/>
    </row>
    <row r="12" spans="1:7" ht="24.95" customHeight="1">
      <c r="A12" s="634" t="s">
        <v>389</v>
      </c>
      <c r="B12" s="636" t="s">
        <v>387</v>
      </c>
      <c r="C12" s="642" t="str">
        <f t="array" aca="1" ref="C12" ca="1">HYPERLINK(CELL("адрес",Выручка!$A$1),"перейти")</f>
        <v>перейти</v>
      </c>
      <c r="D12" s="71"/>
      <c r="E12" s="628"/>
      <c r="F12" s="99"/>
      <c r="G12" s="632" t="b">
        <v>0</v>
      </c>
    </row>
    <row r="13" spans="1:7" ht="7.5" customHeight="1">
      <c r="A13" s="634"/>
      <c r="B13" s="636"/>
      <c r="C13" s="642"/>
      <c r="D13" s="71"/>
      <c r="E13" s="628"/>
      <c r="F13" s="99"/>
      <c r="G13" s="632"/>
    </row>
    <row r="14" spans="1:7" ht="24.95" customHeight="1">
      <c r="A14" s="634" t="s">
        <v>390</v>
      </c>
      <c r="B14" s="636" t="s">
        <v>391</v>
      </c>
      <c r="C14" s="642" t="str">
        <f t="array" aca="1" ref="C14" ca="1">HYPERLINK(CELL("адрес",Себестоимость!$A$1),"перейти")</f>
        <v>перейти</v>
      </c>
      <c r="D14" s="71"/>
      <c r="E14" s="628"/>
      <c r="F14" s="99"/>
      <c r="G14" s="632" t="b">
        <v>0</v>
      </c>
    </row>
    <row r="15" spans="1:7" ht="7.5" customHeight="1">
      <c r="A15" s="634"/>
      <c r="B15" s="636"/>
      <c r="C15" s="642"/>
      <c r="D15" s="71"/>
      <c r="E15" s="628"/>
      <c r="F15" s="99"/>
      <c r="G15" s="632"/>
    </row>
    <row r="16" spans="1:7" ht="24.95" customHeight="1">
      <c r="A16" s="634" t="s">
        <v>393</v>
      </c>
      <c r="B16" s="636" t="s">
        <v>392</v>
      </c>
      <c r="C16" s="642" t="str">
        <f t="array" aca="1" ref="C16" ca="1">HYPERLINK(CELL("адрес",Ресурсы!$A$1),"перейти")</f>
        <v>перейти</v>
      </c>
      <c r="D16" s="71"/>
      <c r="E16" s="628"/>
      <c r="F16" s="99"/>
      <c r="G16" s="632" t="b">
        <v>0</v>
      </c>
    </row>
    <row r="17" spans="1:7" ht="7.5" customHeight="1">
      <c r="A17" s="634"/>
      <c r="B17" s="636"/>
      <c r="C17" s="642"/>
      <c r="D17" s="71"/>
      <c r="E17" s="628"/>
      <c r="F17" s="99"/>
      <c r="G17" s="632"/>
    </row>
    <row r="18" spans="1:7" ht="24.95" customHeight="1">
      <c r="A18" s="634" t="s">
        <v>394</v>
      </c>
      <c r="B18" s="636" t="s">
        <v>395</v>
      </c>
      <c r="C18" s="642" t="str">
        <f t="array" aca="1" ref="C18" ca="1">HYPERLINK(CELL("адрес",Персонал!$A$1),"перейти")</f>
        <v>перейти</v>
      </c>
      <c r="D18" s="71"/>
      <c r="E18" s="628"/>
      <c r="F18" s="99"/>
      <c r="G18" s="632" t="b">
        <v>0</v>
      </c>
    </row>
    <row r="19" spans="1:7" ht="7.5" customHeight="1">
      <c r="A19" s="634"/>
      <c r="B19" s="636"/>
      <c r="C19" s="642"/>
      <c r="D19" s="71"/>
      <c r="E19" s="628"/>
      <c r="F19" s="99"/>
      <c r="G19" s="632"/>
    </row>
    <row r="20" spans="1:7" ht="43.15" customHeight="1">
      <c r="A20" s="634" t="s">
        <v>396</v>
      </c>
      <c r="B20" s="636" t="s">
        <v>398</v>
      </c>
      <c r="C20" s="642" t="str">
        <f t="array" aca="1" ref="C20" ca="1">HYPERLINK(CELL("адрес",Инвестиции!$A$1),"перейти")</f>
        <v>перейти</v>
      </c>
      <c r="D20" s="71"/>
      <c r="E20" s="628" t="s">
        <v>402</v>
      </c>
      <c r="F20" s="99"/>
      <c r="G20" s="632" t="b">
        <v>0</v>
      </c>
    </row>
    <row r="21" spans="1:7" ht="7.5" customHeight="1">
      <c r="A21" s="634"/>
      <c r="B21" s="636"/>
      <c r="C21" s="642"/>
      <c r="D21" s="71"/>
      <c r="E21" s="628"/>
      <c r="F21" s="99"/>
      <c r="G21" s="632"/>
    </row>
    <row r="22" spans="1:7" ht="24.95" customHeight="1">
      <c r="A22" s="634" t="s">
        <v>397</v>
      </c>
      <c r="B22" s="636" t="s">
        <v>400</v>
      </c>
      <c r="C22" s="642" t="str">
        <f t="array" aca="1" ref="C22" ca="1">HYPERLINK(CELL("адрес",Финансы!$A$1),"перейти")</f>
        <v>перейти</v>
      </c>
      <c r="D22" s="71"/>
      <c r="E22" s="628" t="s">
        <v>401</v>
      </c>
      <c r="F22" s="99"/>
      <c r="G22" s="632" t="b">
        <v>0</v>
      </c>
    </row>
    <row r="23" spans="1:7" ht="7.5" customHeight="1">
      <c r="A23" s="634"/>
      <c r="B23" s="636"/>
      <c r="C23" s="642"/>
      <c r="D23" s="71"/>
      <c r="E23" s="628"/>
      <c r="F23" s="99"/>
      <c r="G23" s="632"/>
    </row>
    <row r="24" spans="1:7" ht="54" customHeight="1">
      <c r="A24" s="634" t="s">
        <v>403</v>
      </c>
      <c r="B24" s="636" t="s">
        <v>406</v>
      </c>
      <c r="C24" s="642" t="str">
        <f t="array" aca="1" ref="C24" ca="1">HYPERLINK(CELL("адрес",ОбщПрРасходы!$A$1),"перейти")</f>
        <v>перейти</v>
      </c>
      <c r="D24" s="71"/>
      <c r="E24" s="628" t="s">
        <v>412</v>
      </c>
      <c r="F24" s="99"/>
      <c r="G24" s="632" t="b">
        <v>0</v>
      </c>
    </row>
    <row r="25" spans="1:7" ht="7.5" customHeight="1">
      <c r="A25" s="634"/>
      <c r="B25" s="636"/>
      <c r="C25" s="642"/>
      <c r="D25" s="71"/>
      <c r="E25" s="628"/>
      <c r="F25" s="99"/>
      <c r="G25" s="632"/>
    </row>
    <row r="26" spans="1:7" ht="52.15" customHeight="1">
      <c r="A26" s="634" t="s">
        <v>408</v>
      </c>
      <c r="B26" s="636" t="s">
        <v>409</v>
      </c>
      <c r="C26" s="642" t="str">
        <f t="array" aca="1" ref="C26" ca="1">HYPERLINK(CELL("адрес",АдмРасходы!$A$1),"перейти")</f>
        <v>перейти</v>
      </c>
      <c r="D26" s="71"/>
      <c r="E26" s="628" t="s">
        <v>412</v>
      </c>
      <c r="F26" s="99"/>
      <c r="G26" s="632" t="b">
        <v>0</v>
      </c>
    </row>
    <row r="27" spans="1:7" ht="7.5" customHeight="1">
      <c r="A27" s="634"/>
      <c r="B27" s="636"/>
      <c r="C27" s="642"/>
      <c r="D27" s="71"/>
      <c r="E27" s="628"/>
      <c r="F27" s="99"/>
      <c r="G27" s="632"/>
    </row>
    <row r="28" spans="1:7" ht="24.95" customHeight="1">
      <c r="A28" s="634" t="s">
        <v>410</v>
      </c>
      <c r="B28" s="636" t="s">
        <v>411</v>
      </c>
      <c r="C28" s="642" t="str">
        <f t="array" aca="1" ref="C28" ca="1">HYPERLINK(CELL("адрес",ПрочДоходы!$A$1),"перейти")</f>
        <v>перейти</v>
      </c>
      <c r="D28" s="71"/>
      <c r="E28" s="628" t="s">
        <v>407</v>
      </c>
      <c r="F28" s="99"/>
      <c r="G28" s="632" t="b">
        <v>0</v>
      </c>
    </row>
    <row r="29" spans="1:7" ht="7.5" customHeight="1">
      <c r="A29" s="634"/>
      <c r="B29" s="636"/>
      <c r="C29" s="642"/>
      <c r="D29" s="71"/>
      <c r="E29" s="628"/>
      <c r="F29" s="99"/>
      <c r="G29" s="632"/>
    </row>
    <row r="30" spans="1:7" ht="24.95" customHeight="1">
      <c r="A30" s="634" t="s">
        <v>413</v>
      </c>
      <c r="B30" s="636" t="s">
        <v>414</v>
      </c>
      <c r="C30" s="642" t="str">
        <f t="array" aca="1" ref="C30" ca="1">HYPERLINK(CELL("адрес",ПрочРасходы!$A$1),"перейти")</f>
        <v>перейти</v>
      </c>
      <c r="D30" s="71"/>
      <c r="E30" s="628" t="s">
        <v>407</v>
      </c>
      <c r="F30" s="99"/>
      <c r="G30" s="632" t="b">
        <v>0</v>
      </c>
    </row>
    <row r="31" spans="1:7" ht="7.5" customHeight="1">
      <c r="A31" s="634"/>
      <c r="B31" s="636"/>
      <c r="C31" s="642"/>
      <c r="D31" s="71"/>
      <c r="E31" s="628"/>
      <c r="F31" s="99"/>
      <c r="G31" s="632"/>
    </row>
    <row r="32" spans="1:7" ht="24.95" customHeight="1">
      <c r="A32" s="634" t="s">
        <v>415</v>
      </c>
      <c r="B32" s="636" t="s">
        <v>416</v>
      </c>
      <c r="C32" s="642" t="str">
        <f t="array" aca="1" ref="C32" ca="1">HYPERLINK(CELL("адрес",Контроль!$A$1),"перейти")</f>
        <v>перейти</v>
      </c>
      <c r="D32" s="71"/>
      <c r="E32" s="628" t="s">
        <v>417</v>
      </c>
      <c r="F32" s="99"/>
      <c r="G32" s="632" t="b">
        <v>0</v>
      </c>
    </row>
    <row r="33" spans="1:7" ht="7.5" customHeight="1">
      <c r="A33" s="634"/>
      <c r="B33" s="636"/>
      <c r="C33" s="642"/>
      <c r="D33" s="71"/>
      <c r="E33" s="628"/>
      <c r="F33" s="99"/>
      <c r="G33" s="632"/>
    </row>
    <row r="34" spans="1:7" ht="24.95" customHeight="1">
      <c r="A34" s="634" t="s">
        <v>418</v>
      </c>
      <c r="B34" s="636" t="s">
        <v>419</v>
      </c>
      <c r="C34" s="642" t="str">
        <f t="array" aca="1" ref="C34" ca="1">HYPERLINK(CELL("адрес",БДР!$A$1),"перейти")</f>
        <v>перейти</v>
      </c>
      <c r="D34" s="71"/>
      <c r="E34" s="628" t="s">
        <v>420</v>
      </c>
      <c r="F34" s="99"/>
      <c r="G34" s="632" t="b">
        <v>0</v>
      </c>
    </row>
    <row r="35" spans="1:7" ht="7.5" customHeight="1">
      <c r="A35" s="634"/>
      <c r="B35" s="636"/>
      <c r="C35" s="642"/>
      <c r="D35" s="71"/>
      <c r="E35" s="628"/>
      <c r="F35" s="99"/>
      <c r="G35" s="632"/>
    </row>
    <row r="36" spans="1:7" ht="24.95" customHeight="1">
      <c r="A36" s="634" t="s">
        <v>421</v>
      </c>
      <c r="B36" s="636" t="s">
        <v>422</v>
      </c>
      <c r="C36" s="642" t="str">
        <f t="array" aca="1" ref="C36" ca="1">HYPERLINK(CELL("адрес",БДРбезЛьгот!$A$1),"перейти")</f>
        <v>перейти</v>
      </c>
      <c r="D36" s="71"/>
      <c r="E36" s="628" t="s">
        <v>420</v>
      </c>
      <c r="F36" s="99"/>
      <c r="G36" s="632" t="b">
        <v>0</v>
      </c>
    </row>
    <row r="37" spans="1:7" ht="7.5" customHeight="1">
      <c r="A37" s="634"/>
      <c r="B37" s="636"/>
      <c r="C37" s="642"/>
      <c r="D37" s="71"/>
      <c r="E37" s="628"/>
      <c r="F37" s="99"/>
      <c r="G37" s="632"/>
    </row>
    <row r="38" spans="1:7" ht="24.95" customHeight="1">
      <c r="A38" s="634" t="s">
        <v>423</v>
      </c>
      <c r="B38" s="636" t="s">
        <v>424</v>
      </c>
      <c r="C38" s="706" t="str">
        <f t="array" aca="1" ref="C38" ca="1">HYPERLINK(CELL("адрес",Дашборд_Основной!A1),"перейти")</f>
        <v>перейти</v>
      </c>
      <c r="D38" s="71"/>
      <c r="E38" s="628" t="s">
        <v>425</v>
      </c>
      <c r="F38" s="99"/>
      <c r="G38" s="632" t="b">
        <v>0</v>
      </c>
    </row>
    <row r="39" spans="1:7" ht="7.5" customHeight="1">
      <c r="A39" s="634"/>
      <c r="B39" s="636"/>
      <c r="C39" s="642"/>
      <c r="D39" s="71"/>
      <c r="E39" s="628"/>
      <c r="F39" s="99"/>
      <c r="G39" s="632"/>
    </row>
    <row r="40" spans="1:7" ht="24.95" customHeight="1">
      <c r="A40" s="634" t="s">
        <v>426</v>
      </c>
      <c r="B40" s="636" t="s">
        <v>427</v>
      </c>
      <c r="C40" s="706" t="str">
        <f t="array" aca="1" ref="C40" ca="1">HYPERLINK(CELL("адрес",Чувствительность!A1),"Чувствительность")</f>
        <v>Чувствительность</v>
      </c>
      <c r="D40" s="71"/>
      <c r="E40" s="628" t="s">
        <v>430</v>
      </c>
      <c r="F40" s="99"/>
      <c r="G40" s="632" t="b">
        <v>0</v>
      </c>
    </row>
    <row r="41" spans="1:7" ht="7.5" customHeight="1">
      <c r="A41" s="634"/>
      <c r="B41" s="636"/>
      <c r="C41" s="642"/>
      <c r="D41" s="71"/>
      <c r="E41" s="628"/>
      <c r="F41" s="99"/>
      <c r="G41" s="632"/>
    </row>
    <row r="42" spans="1:7" ht="24.95" customHeight="1">
      <c r="A42" s="634" t="s">
        <v>428</v>
      </c>
      <c r="B42" s="636" t="s">
        <v>429</v>
      </c>
      <c r="C42" s="706" t="str">
        <f t="array" aca="1" ref="C42" ca="1">HYPERLINK(CELL("адрес",WACC!A1),"WACC")</f>
        <v>WACC</v>
      </c>
      <c r="D42" s="71"/>
      <c r="E42" s="628" t="s">
        <v>884</v>
      </c>
      <c r="F42" s="99"/>
      <c r="G42" s="632" t="b">
        <v>0</v>
      </c>
    </row>
    <row r="43" spans="1:7">
      <c r="A43" s="636"/>
      <c r="B43" s="636"/>
      <c r="C43" s="642"/>
      <c r="D43" s="71"/>
      <c r="E43" s="628"/>
      <c r="F43" s="99"/>
      <c r="G43" s="632"/>
    </row>
    <row r="44" spans="1:7" ht="7.5" customHeight="1">
      <c r="A44" s="637"/>
      <c r="B44" s="640"/>
      <c r="C44" s="643"/>
      <c r="D44" s="71"/>
      <c r="E44" s="104"/>
      <c r="F44" s="104"/>
      <c r="G44" s="99"/>
    </row>
    <row r="45" spans="1:7">
      <c r="A45" s="71"/>
      <c r="B45" s="638"/>
      <c r="C45" s="112"/>
      <c r="D45" s="71"/>
      <c r="E45" s="99"/>
      <c r="F45" s="99"/>
      <c r="G45" s="99"/>
    </row>
    <row r="46" spans="1:7">
      <c r="A46" s="71"/>
      <c r="B46" s="638" t="s">
        <v>312</v>
      </c>
      <c r="C46" s="112"/>
      <c r="D46" s="71"/>
      <c r="E46" s="99"/>
      <c r="F46" s="99"/>
      <c r="G46" s="99"/>
    </row>
    <row r="47" spans="1:7"/>
    <row r="48" spans="1:7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95"/>
    <row r="96"/>
    <row r="98"/>
    <row r="99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</sheetData>
  <hyperlinks>
    <hyperlink ref="C3" location="Контроль!A1" display="Контроль!A1"/>
  </hyperlinks>
  <pageMargins left="0.70866141732283472" right="0.70866141732283472" top="0.74803149606299213" bottom="0.74803149606299213" header="0.31496062992125984" footer="0.31496062992125984"/>
  <pageSetup paperSize="9" scale="62" fitToHeight="2" orientation="portrait" r:id="rId1"/>
  <headerFooter>
    <oddFooter>&amp;C&amp;9Страница  &amp;P из &amp;N&amp;R&amp;G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28575</xdr:rowOff>
                  </from>
                  <to>
                    <xdr:col>5</xdr:col>
                    <xdr:colOff>476250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6" name="Check Box 4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57150</xdr:rowOff>
                  </from>
                  <to>
                    <xdr:col>5</xdr:col>
                    <xdr:colOff>476250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7" name="Check Box 10">
              <controlPr defaultSize="0" autoFill="0" autoLine="0" autoPict="0">
                <anchor moveWithCells="1">
                  <from>
                    <xdr:col>5</xdr:col>
                    <xdr:colOff>247650</xdr:colOff>
                    <xdr:row>5</xdr:row>
                    <xdr:rowOff>361950</xdr:rowOff>
                  </from>
                  <to>
                    <xdr:col>5</xdr:col>
                    <xdr:colOff>457200</xdr:colOff>
                    <xdr:row>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7" r:id="rId8" name="Check Box 13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57150</xdr:rowOff>
                  </from>
                  <to>
                    <xdr:col>5</xdr:col>
                    <xdr:colOff>476250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5" r:id="rId9" name="Check Box 21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57150</xdr:rowOff>
                  </from>
                  <to>
                    <xdr:col>5</xdr:col>
                    <xdr:colOff>476250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6" r:id="rId10" name="Check Box 22">
              <controlPr defaultSize="0" autoFill="0" autoLine="0" autoPict="0">
                <anchor moveWithCells="1">
                  <from>
                    <xdr:col>5</xdr:col>
                    <xdr:colOff>238125</xdr:colOff>
                    <xdr:row>15</xdr:row>
                    <xdr:rowOff>57150</xdr:rowOff>
                  </from>
                  <to>
                    <xdr:col>5</xdr:col>
                    <xdr:colOff>476250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7" r:id="rId11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17</xdr:row>
                    <xdr:rowOff>57150</xdr:rowOff>
                  </from>
                  <to>
                    <xdr:col>5</xdr:col>
                    <xdr:colOff>476250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8" r:id="rId12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19</xdr:row>
                    <xdr:rowOff>133350</xdr:rowOff>
                  </from>
                  <to>
                    <xdr:col>5</xdr:col>
                    <xdr:colOff>466725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0" r:id="rId13" name="Check Box 26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57150</xdr:rowOff>
                  </from>
                  <to>
                    <xdr:col>5</xdr:col>
                    <xdr:colOff>476250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1" r:id="rId14" name="Check Box 27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57150</xdr:rowOff>
                  </from>
                  <to>
                    <xdr:col>5</xdr:col>
                    <xdr:colOff>476250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2" r:id="rId15" name="Check Box 28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57150</xdr:rowOff>
                  </from>
                  <to>
                    <xdr:col>5</xdr:col>
                    <xdr:colOff>476250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3" r:id="rId16" name="Check Box 29">
              <controlPr defaultSize="0" autoFill="0" autoLine="0" autoPict="0">
                <anchor moveWithCells="1">
                  <from>
                    <xdr:col>5</xdr:col>
                    <xdr:colOff>238125</xdr:colOff>
                    <xdr:row>27</xdr:row>
                    <xdr:rowOff>57150</xdr:rowOff>
                  </from>
                  <to>
                    <xdr:col>5</xdr:col>
                    <xdr:colOff>476250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4" r:id="rId17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29</xdr:row>
                    <xdr:rowOff>57150</xdr:rowOff>
                  </from>
                  <to>
                    <xdr:col>5</xdr:col>
                    <xdr:colOff>476250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5" r:id="rId18" name="Check Box 31">
              <controlPr defaultSize="0" autoFill="0" autoLine="0" autoPict="0">
                <anchor moveWithCells="1">
                  <from>
                    <xdr:col>5</xdr:col>
                    <xdr:colOff>238125</xdr:colOff>
                    <xdr:row>31</xdr:row>
                    <xdr:rowOff>57150</xdr:rowOff>
                  </from>
                  <to>
                    <xdr:col>5</xdr:col>
                    <xdr:colOff>476250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6" r:id="rId19" name="Check Box 32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57150</xdr:rowOff>
                  </from>
                  <to>
                    <xdr:col>5</xdr:col>
                    <xdr:colOff>476250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7" r:id="rId20" name="Check Box 33">
              <controlPr defaultSize="0" autoFill="0" autoLine="0" autoPict="0">
                <anchor moveWithCells="1">
                  <from>
                    <xdr:col>5</xdr:col>
                    <xdr:colOff>238125</xdr:colOff>
                    <xdr:row>35</xdr:row>
                    <xdr:rowOff>57150</xdr:rowOff>
                  </from>
                  <to>
                    <xdr:col>5</xdr:col>
                    <xdr:colOff>476250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8" r:id="rId21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37</xdr:row>
                    <xdr:rowOff>57150</xdr:rowOff>
                  </from>
                  <to>
                    <xdr:col>5</xdr:col>
                    <xdr:colOff>476250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9" r:id="rId22" name="Check Box 35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57150</xdr:rowOff>
                  </from>
                  <to>
                    <xdr:col>5</xdr:col>
                    <xdr:colOff>476250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0" r:id="rId23" name="Check Box 36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0</xdr:rowOff>
                  </from>
                  <to>
                    <xdr:col>5</xdr:col>
                    <xdr:colOff>476250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24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0</xdr:rowOff>
                  </from>
                  <to>
                    <xdr:col>5</xdr:col>
                    <xdr:colOff>476250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2" r:id="rId25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57150</xdr:rowOff>
                  </from>
                  <to>
                    <xdr:col>5</xdr:col>
                    <xdr:colOff>476250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3" r:id="rId26" name="Check Box 39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47625</xdr:rowOff>
                  </from>
                  <to>
                    <xdr:col>5</xdr:col>
                    <xdr:colOff>476250</xdr:colOff>
                    <xdr:row>41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theme="2" tint="-0.249977111117893"/>
    <outlinePr summaryRight="0"/>
    <pageSetUpPr fitToPage="1"/>
  </sheetPr>
  <dimension ref="A1:H22"/>
  <sheetViews>
    <sheetView showGridLines="0" zoomScale="85" zoomScaleNormal="85" workbookViewId="0">
      <pane xSplit="1" ySplit="3" topLeftCell="B4" activePane="bottomRight" state="frozen"/>
      <selection pane="topRight"/>
      <selection pane="bottomLeft"/>
      <selection pane="bottomRight" activeCell="C16" sqref="C16"/>
    </sheetView>
  </sheetViews>
  <sheetFormatPr defaultColWidth="8.85546875" defaultRowHeight="15"/>
  <cols>
    <col min="1" max="1" width="3.7109375" style="22" customWidth="1"/>
    <col min="2" max="2" width="25.42578125" style="21" customWidth="1"/>
    <col min="3" max="3" width="11.140625" style="19" customWidth="1"/>
    <col min="4" max="4" width="135.42578125" style="19" customWidth="1"/>
    <col min="5" max="5" width="7.140625" style="19" customWidth="1"/>
    <col min="6" max="6" width="19.5703125" style="21" customWidth="1"/>
    <col min="7" max="7" width="11.140625" style="19" customWidth="1"/>
    <col min="8" max="8" width="14.28515625" style="19" customWidth="1"/>
    <col min="9" max="16384" width="8.85546875" style="19"/>
  </cols>
  <sheetData>
    <row r="1" spans="1:8" ht="18.75">
      <c r="A1" s="656" t="s">
        <v>352</v>
      </c>
      <c r="B1" s="627"/>
      <c r="C1" s="156"/>
      <c r="D1" s="156"/>
      <c r="E1" s="156"/>
      <c r="F1" s="627"/>
      <c r="G1" s="627"/>
      <c r="H1" s="156"/>
    </row>
    <row r="2" spans="1:8">
      <c r="A2" s="625" t="str">
        <f>Паспорт_ФМ_резидент!B7</f>
        <v>Разработка, производство, модернизация и реализация …</v>
      </c>
      <c r="B2" s="627"/>
      <c r="C2" s="156"/>
      <c r="D2" s="156"/>
      <c r="E2" s="156"/>
      <c r="F2" s="627"/>
      <c r="G2" s="627"/>
      <c r="H2" s="156"/>
    </row>
    <row r="3" spans="1:8" s="24" customFormat="1" ht="9.6" customHeight="1">
      <c r="A3" s="649"/>
      <c r="B3" s="72"/>
      <c r="C3" s="72"/>
      <c r="D3" s="74"/>
      <c r="E3" s="72"/>
      <c r="F3" s="72"/>
      <c r="G3" s="72"/>
      <c r="H3" s="72"/>
    </row>
    <row r="5" spans="1:8" ht="45.95" customHeight="1">
      <c r="A5" s="626"/>
      <c r="B5" s="647" t="s">
        <v>309</v>
      </c>
      <c r="C5" s="156"/>
      <c r="D5" s="156"/>
      <c r="E5" s="156"/>
      <c r="F5" s="646" t="s">
        <v>870</v>
      </c>
      <c r="G5" s="156"/>
      <c r="H5" s="156"/>
    </row>
    <row r="6" spans="1:8" ht="45.95" customHeight="1">
      <c r="A6" s="626"/>
      <c r="B6" s="646" t="s">
        <v>329</v>
      </c>
      <c r="C6" s="156"/>
      <c r="D6" s="156"/>
      <c r="E6" s="156"/>
      <c r="F6" s="646" t="s">
        <v>320</v>
      </c>
      <c r="G6" s="156"/>
      <c r="H6" s="156"/>
    </row>
    <row r="7" spans="1:8" ht="45.95" customHeight="1">
      <c r="A7" s="626"/>
      <c r="B7" s="627"/>
      <c r="C7" s="156"/>
      <c r="D7" s="156"/>
      <c r="E7" s="156"/>
      <c r="F7" s="646" t="s">
        <v>330</v>
      </c>
      <c r="G7" s="156"/>
      <c r="H7" s="156"/>
    </row>
    <row r="8" spans="1:8" ht="45.95" customHeight="1">
      <c r="A8" s="626"/>
      <c r="B8" s="627"/>
      <c r="C8" s="156"/>
      <c r="D8" s="156"/>
      <c r="E8" s="156"/>
      <c r="F8" s="647" t="s">
        <v>310</v>
      </c>
      <c r="G8" s="156"/>
      <c r="H8" s="156"/>
    </row>
    <row r="9" spans="1:8" ht="45.95" customHeight="1">
      <c r="A9" s="626"/>
      <c r="B9" s="647" t="s">
        <v>316</v>
      </c>
      <c r="C9" s="156"/>
      <c r="D9" s="156"/>
      <c r="E9" s="156"/>
      <c r="F9" s="647" t="s">
        <v>313</v>
      </c>
      <c r="G9" s="156"/>
      <c r="H9" s="156"/>
    </row>
    <row r="10" spans="1:8" ht="45.95" customHeight="1">
      <c r="A10" s="626"/>
      <c r="B10" s="647" t="s">
        <v>317</v>
      </c>
      <c r="C10" s="156"/>
      <c r="D10" s="156"/>
      <c r="E10" s="156"/>
      <c r="F10" s="648"/>
      <c r="G10" s="156"/>
      <c r="H10" s="156"/>
    </row>
    <row r="11" spans="1:8" ht="45.95" customHeight="1">
      <c r="A11" s="626"/>
      <c r="B11" s="647" t="s">
        <v>314</v>
      </c>
      <c r="C11" s="156"/>
      <c r="D11" s="156"/>
      <c r="E11" s="156"/>
      <c r="F11" s="647" t="s">
        <v>460</v>
      </c>
      <c r="G11" s="156"/>
      <c r="H11" s="156"/>
    </row>
    <row r="12" spans="1:8" ht="45.95" customHeight="1">
      <c r="A12" s="626"/>
      <c r="B12" s="650" t="s">
        <v>315</v>
      </c>
      <c r="C12" s="156"/>
      <c r="D12" s="156"/>
      <c r="E12" s="156"/>
      <c r="F12" s="647" t="s">
        <v>318</v>
      </c>
      <c r="G12" s="156"/>
      <c r="H12" s="156"/>
    </row>
    <row r="13" spans="1:8" ht="45.95" customHeight="1">
      <c r="A13" s="626"/>
      <c r="B13" s="650" t="s">
        <v>862</v>
      </c>
      <c r="C13" s="156"/>
      <c r="D13" s="156"/>
      <c r="E13" s="156"/>
      <c r="F13" s="647" t="s">
        <v>319</v>
      </c>
      <c r="G13" s="156"/>
      <c r="H13" s="156"/>
    </row>
    <row r="14" spans="1:8" ht="45.95" customHeight="1">
      <c r="A14" s="626"/>
      <c r="B14" s="650" t="s">
        <v>863</v>
      </c>
      <c r="C14" s="156"/>
      <c r="D14" s="156"/>
      <c r="E14" s="156"/>
      <c r="F14" s="647" t="s">
        <v>321</v>
      </c>
      <c r="G14" s="156"/>
      <c r="H14" s="156"/>
    </row>
    <row r="15" spans="1:8" ht="45.95" customHeight="1">
      <c r="A15" s="626"/>
      <c r="B15" s="627"/>
      <c r="C15" s="156"/>
      <c r="D15" s="156"/>
      <c r="E15" s="156"/>
      <c r="F15" s="646" t="s">
        <v>331</v>
      </c>
      <c r="G15" s="156"/>
      <c r="H15" s="156"/>
    </row>
    <row r="16" spans="1:8" ht="45.95" customHeight="1">
      <c r="A16" s="626"/>
      <c r="B16" s="627"/>
      <c r="C16" s="156"/>
      <c r="D16" s="156"/>
      <c r="E16" s="156"/>
      <c r="F16" s="646" t="s">
        <v>332</v>
      </c>
      <c r="G16" s="156"/>
      <c r="H16" s="156"/>
    </row>
    <row r="17" spans="6:6" ht="45.95" customHeight="1">
      <c r="F17" s="647"/>
    </row>
    <row r="18" spans="6:6" ht="45.95" customHeight="1">
      <c r="F18" s="647"/>
    </row>
    <row r="19" spans="6:6" ht="45.95" customHeight="1">
      <c r="F19" s="647"/>
    </row>
    <row r="20" spans="6:6" ht="45.95" customHeight="1">
      <c r="F20" s="647"/>
    </row>
    <row r="21" spans="6:6" ht="45.95" customHeight="1">
      <c r="F21" s="647"/>
    </row>
    <row r="22" spans="6:6" ht="45.95" customHeight="1">
      <c r="F22" s="64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&amp;C&amp;9Страница  &amp;P из &amp;N&amp;R&amp;G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</vt:i4>
      </vt:variant>
      <vt:variant>
        <vt:lpstr>Именованные диапазоны</vt:lpstr>
      </vt:variant>
      <vt:variant>
        <vt:i4>73</vt:i4>
      </vt:variant>
    </vt:vector>
  </HeadingPairs>
  <TitlesOfParts>
    <vt:vector size="114" baseType="lpstr">
      <vt:lpstr>Паспорт_ФМ_резидент</vt:lpstr>
      <vt:lpstr>Оглавление</vt:lpstr>
      <vt:lpstr>Оценка_инвестора</vt:lpstr>
      <vt:lpstr>Макро</vt:lpstr>
      <vt:lpstr>WACC</vt:lpstr>
      <vt:lpstr>Исходные</vt:lpstr>
      <vt:lpstr>КПЭ</vt:lpstr>
      <vt:lpstr>ИтогТаблицы</vt:lpstr>
      <vt:lpstr>Дашборд_ИтогТабл</vt:lpstr>
      <vt:lpstr>Дашборд_Основной</vt:lpstr>
      <vt:lpstr>БДР</vt:lpstr>
      <vt:lpstr>БДДС</vt:lpstr>
      <vt:lpstr>Баланс</vt:lpstr>
      <vt:lpstr>НалогСвод</vt:lpstr>
      <vt:lpstr>Чувствительность</vt:lpstr>
      <vt:lpstr>Дашборд_налоги</vt:lpstr>
      <vt:lpstr>УСН</vt:lpstr>
      <vt:lpstr>Инвестиции</vt:lpstr>
      <vt:lpstr>Финансы</vt:lpstr>
      <vt:lpstr>Выручка</vt:lpstr>
      <vt:lpstr>Себестоимость</vt:lpstr>
      <vt:lpstr>Персонал</vt:lpstr>
      <vt:lpstr>Ресурсы</vt:lpstr>
      <vt:lpstr>ОбщПрРасходы</vt:lpstr>
      <vt:lpstr>АдмРасходы</vt:lpstr>
      <vt:lpstr>ПрочДоходы</vt:lpstr>
      <vt:lpstr>ПрочРасходы</vt:lpstr>
      <vt:lpstr>НДС</vt:lpstr>
      <vt:lpstr>НалПрибыль</vt:lpstr>
      <vt:lpstr>НалЗемля</vt:lpstr>
      <vt:lpstr>НалИмущество</vt:lpstr>
      <vt:lpstr>КПЭбезЛьгот</vt:lpstr>
      <vt:lpstr>БДРбезЛьгот</vt:lpstr>
      <vt:lpstr>БДДСбезЛьгот</vt:lpstr>
      <vt:lpstr>БалансбезЛьгот</vt:lpstr>
      <vt:lpstr>Контроль</vt:lpstr>
      <vt:lpstr>Легенда</vt:lpstr>
      <vt:lpstr>Шаблон</vt:lpstr>
      <vt:lpstr>Структура</vt:lpstr>
      <vt:lpstr>Описание</vt:lpstr>
      <vt:lpstr>Дашборд_2</vt:lpstr>
      <vt:lpstr>БДРбезЛьгот!Валовая_прибыль</vt:lpstr>
      <vt:lpstr>Валовая_прибыль</vt:lpstr>
      <vt:lpstr>АдмРасходы!Заголовки_для_печати</vt:lpstr>
      <vt:lpstr>Баланс!Заголовки_для_печати</vt:lpstr>
      <vt:lpstr>БалансбезЛьгот!Заголовки_для_печати</vt:lpstr>
      <vt:lpstr>БДДС!Заголовки_для_печати</vt:lpstr>
      <vt:lpstr>БДДСбезЛьгот!Заголовки_для_печати</vt:lpstr>
      <vt:lpstr>БДР!Заголовки_для_печати</vt:lpstr>
      <vt:lpstr>БДРбезЛьгот!Заголовки_для_печати</vt:lpstr>
      <vt:lpstr>Выручка!Заголовки_для_печати</vt:lpstr>
      <vt:lpstr>Инвестиции!Заголовки_для_печати</vt:lpstr>
      <vt:lpstr>Исходные!Заголовки_для_печати</vt:lpstr>
      <vt:lpstr>Контроль!Заголовки_для_печати</vt:lpstr>
      <vt:lpstr>КПЭ!Заголовки_для_печати</vt:lpstr>
      <vt:lpstr>КПЭбезЛьгот!Заголовки_для_печати</vt:lpstr>
      <vt:lpstr>Макро!Заголовки_для_печати</vt:lpstr>
      <vt:lpstr>НалЗемля!Заголовки_для_печати</vt:lpstr>
      <vt:lpstr>НалИмущество!Заголовки_для_печати</vt:lpstr>
      <vt:lpstr>НалогСвод!Заголовки_для_печати</vt:lpstr>
      <vt:lpstr>НалПрибыль!Заголовки_для_печати</vt:lpstr>
      <vt:lpstr>НДС!Заголовки_для_печати</vt:lpstr>
      <vt:lpstr>ОбщПрРасходы!Заголовки_для_печати</vt:lpstr>
      <vt:lpstr>Оглавление!Заголовки_для_печати</vt:lpstr>
      <vt:lpstr>Описание!Заголовки_для_печати</vt:lpstr>
      <vt:lpstr>Персонал!Заголовки_для_печати</vt:lpstr>
      <vt:lpstr>ПрочДоходы!Заголовки_для_печати</vt:lpstr>
      <vt:lpstr>ПрочРасходы!Заголовки_для_печати</vt:lpstr>
      <vt:lpstr>Ресурсы!Заголовки_для_печати</vt:lpstr>
      <vt:lpstr>Себестоимость!Заголовки_для_печати</vt:lpstr>
      <vt:lpstr>УСН!Заголовки_для_печати</vt:lpstr>
      <vt:lpstr>Финансы!Заголовки_для_печати</vt:lpstr>
      <vt:lpstr>Чувствительность!Заголовки_для_печати</vt:lpstr>
      <vt:lpstr>Шаблон!Заголовки_для_печати</vt:lpstr>
      <vt:lpstr>НалПрибыль</vt:lpstr>
      <vt:lpstr>АдмРасходы!Область_печати</vt:lpstr>
      <vt:lpstr>Баланс!Область_печати</vt:lpstr>
      <vt:lpstr>БДДС!Область_печати</vt:lpstr>
      <vt:lpstr>БДР!Область_печати</vt:lpstr>
      <vt:lpstr>Выручка!Область_печати</vt:lpstr>
      <vt:lpstr>Дашборд_налоги!Область_печати</vt:lpstr>
      <vt:lpstr>Инвестиции!Область_печати</vt:lpstr>
      <vt:lpstr>ИтогТаблицы!Область_печати</vt:lpstr>
      <vt:lpstr>КПЭ!Область_печати</vt:lpstr>
      <vt:lpstr>КПЭбезЛьгот!Область_печати</vt:lpstr>
      <vt:lpstr>НалЗемля!Область_печати</vt:lpstr>
      <vt:lpstr>НалИмущество!Область_печати</vt:lpstr>
      <vt:lpstr>НалогСвод!Область_печати</vt:lpstr>
      <vt:lpstr>НалПрибыль!Область_печати</vt:lpstr>
      <vt:lpstr>НДС!Область_печати</vt:lpstr>
      <vt:lpstr>ОбщПрРасходы!Область_печати</vt:lpstr>
      <vt:lpstr>Оглавление!Область_печати</vt:lpstr>
      <vt:lpstr>Описание!Область_печати</vt:lpstr>
      <vt:lpstr>Персонал!Область_печати</vt:lpstr>
      <vt:lpstr>ПрочДоходы!Область_печати</vt:lpstr>
      <vt:lpstr>ПрочРасходы!Область_печати</vt:lpstr>
      <vt:lpstr>Ресурсы!Область_печати</vt:lpstr>
      <vt:lpstr>Себестоимость!Область_печати</vt:lpstr>
      <vt:lpstr>УСН!Область_печати</vt:lpstr>
      <vt:lpstr>Финансы!Область_печати</vt:lpstr>
      <vt:lpstr>Чувствительность!Область_печати</vt:lpstr>
      <vt:lpstr>Шаблон!Область_печати</vt:lpstr>
      <vt:lpstr>БДРбезЛьгот!Прибыль_до_налогообл</vt:lpstr>
      <vt:lpstr>Прибыль_до_налогообл</vt:lpstr>
      <vt:lpstr>БДРбезЛьгот!Прибыль_от_продаж</vt:lpstr>
      <vt:lpstr>Прибыль_от_продаж</vt:lpstr>
      <vt:lpstr>БДР!Продажи</vt:lpstr>
      <vt:lpstr>БДРбезЛьгот!Продажи</vt:lpstr>
      <vt:lpstr>БДР!Себестоимость</vt:lpstr>
      <vt:lpstr>БДРбезЛьгот!Себестоимость</vt:lpstr>
      <vt:lpstr>СоцНалог</vt:lpstr>
      <vt:lpstr>СтавкаНДФЛ</vt:lpstr>
      <vt:lpstr>БДРбезЛьгот!Чистая_прибыль</vt:lpstr>
      <vt:lpstr>Чистая_прибыль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ФЭМ шаблон</dc:title>
  <dc:creator>Oleg Smolenishev</dc:creator>
  <cp:keywords>ФЭМ;шаблон;заказчик RDC</cp:keywords>
  <cp:lastModifiedBy>Фроленко Татьяна Романовна</cp:lastModifiedBy>
  <cp:lastPrinted>2024-05-27T18:29:38Z</cp:lastPrinted>
  <dcterms:created xsi:type="dcterms:W3CDTF">2024-02-17T08:22:04Z</dcterms:created>
  <dcterms:modified xsi:type="dcterms:W3CDTF">2025-03-24T03:13:32Z</dcterms:modified>
</cp:coreProperties>
</file>